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המרכז להנגשת מידע\לקוחות\פספורטכארד\2024\נובמבר 2024\נגיש\"/>
    </mc:Choice>
  </mc:AlternateContent>
  <xr:revisionPtr revIDLastSave="0" documentId="8_{D185DB86-FFE9-4990-96ED-A7D650D824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כלל והון " sheetId="2" r:id="rId1"/>
    <sheet name="נוסטרו חיים" sheetId="1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'כלל והון '!$A$1:$Y$53</definedName>
    <definedName name="_xlnm.Print_Area" localSheetId="1">'נוסטרו חיים'!$A$1:$Y$54</definedName>
    <definedName name="Years">'נוסטרו חיים'!$AB$6:$AB$17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20" i="2" l="1"/>
  <c r="R9" i="2"/>
  <c r="AE47" i="2" l="1"/>
  <c r="AE48" i="2" l="1"/>
  <c r="AC48" i="2" l="1"/>
  <c r="AC47" i="2"/>
  <c r="AA48" i="2"/>
  <c r="AA47" i="2"/>
  <c r="L9" i="2" l="1"/>
  <c r="B9" i="2" l="1"/>
  <c r="D9" i="2" l="1"/>
  <c r="H9" i="2"/>
  <c r="F9" i="2"/>
  <c r="J9" i="2" l="1"/>
  <c r="N9" i="2"/>
  <c r="P9" i="2" s="1"/>
  <c r="H35" i="2"/>
  <c r="H37" i="2"/>
  <c r="H38" i="2"/>
  <c r="H40" i="2"/>
  <c r="H41" i="2"/>
  <c r="H42" i="2"/>
  <c r="H43" i="2"/>
  <c r="J35" i="2"/>
  <c r="J37" i="2"/>
  <c r="J38" i="2"/>
  <c r="J40" i="2"/>
  <c r="J41" i="2"/>
  <c r="J42" i="2"/>
  <c r="J43" i="2"/>
  <c r="U9" i="2"/>
  <c r="U11" i="2"/>
  <c r="W11" i="2"/>
  <c r="Y11" i="2"/>
  <c r="U13" i="2"/>
  <c r="U17" i="2"/>
  <c r="W17" i="2"/>
  <c r="W18" i="2"/>
  <c r="U19" i="2"/>
  <c r="W19" i="2"/>
  <c r="T20" i="2"/>
  <c r="U10" i="2" s="1"/>
  <c r="U20" i="2"/>
  <c r="V20" i="2"/>
  <c r="W10" i="2" s="1"/>
  <c r="W20" i="2"/>
  <c r="X20" i="2"/>
  <c r="Y10" i="2" s="1"/>
  <c r="W22" i="2"/>
  <c r="U23" i="2"/>
  <c r="T24" i="2"/>
  <c r="U22" i="2" s="1"/>
  <c r="U24" i="2"/>
  <c r="V24" i="2"/>
  <c r="W23" i="2" s="1"/>
  <c r="W24" i="2"/>
  <c r="X24" i="2"/>
  <c r="Y22" i="2" s="1"/>
  <c r="V26" i="2"/>
  <c r="W26" i="2" s="1"/>
  <c r="T27" i="2"/>
  <c r="T26" i="2" s="1"/>
  <c r="V27" i="2"/>
  <c r="X27" i="2"/>
  <c r="V28" i="2"/>
  <c r="W27" i="2" s="1"/>
  <c r="X33" i="2"/>
  <c r="L34" i="2"/>
  <c r="R34" i="2"/>
  <c r="X34" i="2"/>
  <c r="L35" i="2"/>
  <c r="N35" i="2"/>
  <c r="P35" i="2"/>
  <c r="R35" i="2"/>
  <c r="T35" i="2"/>
  <c r="V35" i="2"/>
  <c r="X35" i="2"/>
  <c r="Y15" i="2" l="1"/>
  <c r="X26" i="2"/>
  <c r="Y23" i="2"/>
  <c r="W15" i="2"/>
  <c r="W28" i="2"/>
  <c r="Y19" i="2"/>
  <c r="U15" i="2"/>
  <c r="T28" i="2"/>
  <c r="U26" i="2"/>
  <c r="Y16" i="2"/>
  <c r="Y12" i="2"/>
  <c r="Y8" i="2"/>
  <c r="W16" i="2"/>
  <c r="W12" i="2"/>
  <c r="W8" i="2"/>
  <c r="U16" i="2"/>
  <c r="U12" i="2"/>
  <c r="U8" i="2"/>
  <c r="Y24" i="2"/>
  <c r="Y20" i="2"/>
  <c r="Y17" i="2"/>
  <c r="Y13" i="2"/>
  <c r="Y9" i="2"/>
  <c r="W13" i="2"/>
  <c r="W9" i="2"/>
  <c r="Y18" i="2"/>
  <c r="Y14" i="2"/>
  <c r="W14" i="2"/>
  <c r="U18" i="2"/>
  <c r="U14" i="2"/>
  <c r="X36" i="2"/>
  <c r="L37" i="2"/>
  <c r="N37" i="2"/>
  <c r="P37" i="2"/>
  <c r="R37" i="2"/>
  <c r="T37" i="2"/>
  <c r="V37" i="2"/>
  <c r="X37" i="2"/>
  <c r="L38" i="2"/>
  <c r="N38" i="2"/>
  <c r="P38" i="2"/>
  <c r="R38" i="2"/>
  <c r="T38" i="2"/>
  <c r="V38" i="2"/>
  <c r="X38" i="2"/>
  <c r="X39" i="2"/>
  <c r="L40" i="2"/>
  <c r="N40" i="2"/>
  <c r="P40" i="2"/>
  <c r="R40" i="2"/>
  <c r="T40" i="2"/>
  <c r="V40" i="2"/>
  <c r="X40" i="2"/>
  <c r="L41" i="2"/>
  <c r="N41" i="2"/>
  <c r="P41" i="2"/>
  <c r="R41" i="2"/>
  <c r="T41" i="2"/>
  <c r="V41" i="2"/>
  <c r="X41" i="2"/>
  <c r="L42" i="2"/>
  <c r="N42" i="2"/>
  <c r="P42" i="2"/>
  <c r="R42" i="2"/>
  <c r="T42" i="2"/>
  <c r="V42" i="2"/>
  <c r="X42" i="2"/>
  <c r="L43" i="2"/>
  <c r="N43" i="2"/>
  <c r="P43" i="2"/>
  <c r="R43" i="2"/>
  <c r="T43" i="2"/>
  <c r="V43" i="2"/>
  <c r="X43" i="2"/>
  <c r="X44" i="2"/>
  <c r="X47" i="2"/>
  <c r="X49" i="2" s="1"/>
  <c r="Y48" i="2" s="1"/>
  <c r="X48" i="2"/>
  <c r="X52" i="2"/>
  <c r="X28" i="2" l="1"/>
  <c r="Y26" i="2"/>
  <c r="X51" i="2"/>
  <c r="X45" i="2"/>
  <c r="Y43" i="2" s="1"/>
  <c r="Y47" i="2"/>
  <c r="Y49" i="2"/>
  <c r="U27" i="2"/>
  <c r="U28" i="2"/>
  <c r="Y35" i="2"/>
  <c r="Y39" i="2"/>
  <c r="Y37" i="2"/>
  <c r="Y38" i="2"/>
  <c r="Y45" i="2" l="1"/>
  <c r="Y34" i="2"/>
  <c r="Y36" i="2"/>
  <c r="Y41" i="2"/>
  <c r="Y40" i="2"/>
  <c r="X53" i="2"/>
  <c r="Y28" i="2"/>
  <c r="Y27" i="2"/>
  <c r="Y33" i="2"/>
  <c r="Y42" i="2"/>
  <c r="Y44" i="2"/>
  <c r="F43" i="2"/>
  <c r="F42" i="2"/>
  <c r="F41" i="2"/>
  <c r="F40" i="2"/>
  <c r="F38" i="2"/>
  <c r="F37" i="2"/>
  <c r="F35" i="2"/>
  <c r="F34" i="2"/>
  <c r="D43" i="2"/>
  <c r="D42" i="2"/>
  <c r="D41" i="2"/>
  <c r="D40" i="2"/>
  <c r="D38" i="2"/>
  <c r="D37" i="2"/>
  <c r="D35" i="2"/>
  <c r="B43" i="2"/>
  <c r="B42" i="2"/>
  <c r="B41" i="2"/>
  <c r="B40" i="2"/>
  <c r="B38" i="2"/>
  <c r="B37" i="2"/>
  <c r="B35" i="2"/>
  <c r="Y52" i="2" l="1"/>
  <c r="Y53" i="2"/>
  <c r="Y51" i="2"/>
  <c r="AB7" i="1"/>
  <c r="AB8" i="1" s="1"/>
  <c r="AB9" i="1" s="1"/>
  <c r="AB10" i="1" s="1"/>
  <c r="AB11" i="1" s="1"/>
  <c r="J34" i="2" l="1"/>
  <c r="P34" i="2"/>
  <c r="V34" i="2"/>
  <c r="D34" i="2"/>
  <c r="H34" i="2"/>
  <c r="N34" i="2"/>
  <c r="T34" i="2"/>
  <c r="B34" i="2"/>
  <c r="B23" i="2" l="1"/>
  <c r="H23" i="2" l="1"/>
  <c r="N23" i="2"/>
  <c r="B48" i="2"/>
  <c r="H48" i="2"/>
  <c r="AB48" i="2" s="1"/>
  <c r="N48" i="2" l="1"/>
  <c r="T48" i="2"/>
  <c r="D23" i="2"/>
  <c r="J23" i="2" l="1"/>
  <c r="P23" i="2"/>
  <c r="J48" i="2"/>
  <c r="AD48" i="2" s="1"/>
  <c r="V48" i="2"/>
  <c r="D48" i="2"/>
  <c r="P48" i="2"/>
  <c r="AF48" i="2" s="1"/>
  <c r="F14" i="2" l="1"/>
  <c r="F39" i="2" l="1"/>
  <c r="F11" i="2" l="1"/>
  <c r="F36" i="2" l="1"/>
  <c r="F23" i="2" l="1"/>
  <c r="F48" i="2" l="1"/>
  <c r="F8" i="2" l="1"/>
  <c r="F33" i="2" l="1"/>
  <c r="F19" i="2" l="1"/>
  <c r="F20" i="2" l="1"/>
  <c r="G8" i="2" s="1"/>
  <c r="F27" i="2"/>
  <c r="F44" i="2"/>
  <c r="F45" i="2" l="1"/>
  <c r="G19" i="2"/>
  <c r="G14" i="2"/>
  <c r="G11" i="2"/>
  <c r="F26" i="2"/>
  <c r="F52" i="2"/>
  <c r="G10" i="2"/>
  <c r="G20" i="2"/>
  <c r="F22" i="2"/>
  <c r="G18" i="2"/>
  <c r="G17" i="2"/>
  <c r="G16" i="2"/>
  <c r="G12" i="2"/>
  <c r="G13" i="2"/>
  <c r="G15" i="2"/>
  <c r="G9" i="2"/>
  <c r="G33" i="2" l="1"/>
  <c r="G38" i="2"/>
  <c r="G35" i="2"/>
  <c r="G43" i="2"/>
  <c r="G34" i="2"/>
  <c r="G42" i="2"/>
  <c r="G41" i="2"/>
  <c r="G40" i="2"/>
  <c r="G37" i="2"/>
  <c r="G39" i="2"/>
  <c r="G45" i="2"/>
  <c r="G36" i="2"/>
  <c r="G44" i="2"/>
  <c r="F47" i="2"/>
  <c r="F49" i="2" s="1"/>
  <c r="G48" i="2" s="1"/>
  <c r="F24" i="2"/>
  <c r="G23" i="2" s="1"/>
  <c r="F28" i="2"/>
  <c r="G26" i="2" s="1"/>
  <c r="F51" i="2"/>
  <c r="G28" i="2" l="1"/>
  <c r="G27" i="2"/>
  <c r="F53" i="2"/>
  <c r="G51" i="2"/>
  <c r="G22" i="2"/>
  <c r="G24" i="2"/>
  <c r="G47" i="2"/>
  <c r="G49" i="2"/>
  <c r="G53" i="2" l="1"/>
  <c r="G52" i="2"/>
  <c r="B8" i="2" l="1"/>
  <c r="D8" i="2" l="1"/>
  <c r="B33" i="2"/>
  <c r="D14" i="2"/>
  <c r="B14" i="2"/>
  <c r="B11" i="2" s="1"/>
  <c r="B36" i="2" l="1"/>
  <c r="D11" i="2"/>
  <c r="D33" i="2"/>
  <c r="B19" i="2"/>
  <c r="B20" i="2" s="1"/>
  <c r="B39" i="2"/>
  <c r="D39" i="2"/>
  <c r="C8" i="2" l="1"/>
  <c r="C15" i="2"/>
  <c r="C16" i="2"/>
  <c r="C12" i="2"/>
  <c r="B22" i="2"/>
  <c r="B24" i="2" s="1"/>
  <c r="C22" i="2" s="1"/>
  <c r="C11" i="2"/>
  <c r="C9" i="2"/>
  <c r="C13" i="2"/>
  <c r="C18" i="2"/>
  <c r="C10" i="2"/>
  <c r="C14" i="2"/>
  <c r="C17" i="2"/>
  <c r="C20" i="2"/>
  <c r="D36" i="2"/>
  <c r="D19" i="2"/>
  <c r="D20" i="2" s="1"/>
  <c r="E12" i="2" s="1"/>
  <c r="B27" i="2"/>
  <c r="B44" i="2"/>
  <c r="B45" i="2" s="1"/>
  <c r="C19" i="2"/>
  <c r="B47" i="2" l="1"/>
  <c r="B49" i="2" s="1"/>
  <c r="C47" i="2" s="1"/>
  <c r="E11" i="2"/>
  <c r="E9" i="2"/>
  <c r="E13" i="2"/>
  <c r="E20" i="2"/>
  <c r="E18" i="2"/>
  <c r="E17" i="2"/>
  <c r="C33" i="2"/>
  <c r="C35" i="2"/>
  <c r="C34" i="2"/>
  <c r="C42" i="2"/>
  <c r="C38" i="2"/>
  <c r="C39" i="2"/>
  <c r="C41" i="2"/>
  <c r="C36" i="2"/>
  <c r="C40" i="2"/>
  <c r="C45" i="2"/>
  <c r="C43" i="2"/>
  <c r="C37" i="2"/>
  <c r="C44" i="2"/>
  <c r="E15" i="2"/>
  <c r="E14" i="2"/>
  <c r="E8" i="2"/>
  <c r="D22" i="2"/>
  <c r="D47" i="2" s="1"/>
  <c r="E16" i="2"/>
  <c r="E10" i="2"/>
  <c r="C23" i="2"/>
  <c r="C24" i="2"/>
  <c r="B26" i="2"/>
  <c r="B52" i="2"/>
  <c r="D44" i="2"/>
  <c r="D27" i="2"/>
  <c r="D26" i="2" s="1"/>
  <c r="E19" i="2"/>
  <c r="D24" i="2" l="1"/>
  <c r="E22" i="2" s="1"/>
  <c r="D51" i="2"/>
  <c r="D28" i="2"/>
  <c r="E27" i="2" s="1"/>
  <c r="D45" i="2"/>
  <c r="D49" i="2"/>
  <c r="E47" i="2"/>
  <c r="B51" i="2"/>
  <c r="B28" i="2"/>
  <c r="C27" i="2" s="1"/>
  <c r="C26" i="2"/>
  <c r="C48" i="2"/>
  <c r="C49" i="2"/>
  <c r="D52" i="2"/>
  <c r="E24" i="2" l="1"/>
  <c r="E23" i="2"/>
  <c r="D53" i="2"/>
  <c r="E53" i="2" s="1"/>
  <c r="E39" i="2"/>
  <c r="E33" i="2"/>
  <c r="E42" i="2"/>
  <c r="E34" i="2"/>
  <c r="E43" i="2"/>
  <c r="E45" i="2"/>
  <c r="E38" i="2"/>
  <c r="E37" i="2"/>
  <c r="E36" i="2"/>
  <c r="E40" i="2"/>
  <c r="E35" i="2"/>
  <c r="E41" i="2"/>
  <c r="E44" i="2"/>
  <c r="E28" i="2"/>
  <c r="E26" i="2"/>
  <c r="E52" i="2"/>
  <c r="C28" i="2"/>
  <c r="B53" i="2"/>
  <c r="C51" i="2" s="1"/>
  <c r="E48" i="2"/>
  <c r="E49" i="2"/>
  <c r="E51" i="2" l="1"/>
  <c r="C53" i="2"/>
  <c r="C52" i="2"/>
  <c r="L14" i="2" l="1"/>
  <c r="L39" i="2" l="1"/>
  <c r="L23" i="2" l="1"/>
  <c r="L48" i="2" s="1"/>
  <c r="L8" i="2" l="1"/>
  <c r="L33" i="2" l="1"/>
  <c r="L19" i="2" l="1"/>
  <c r="L27" i="2" l="1"/>
  <c r="L44" i="2"/>
  <c r="L52" i="2" l="1"/>
  <c r="L11" i="2" l="1"/>
  <c r="L20" i="2" s="1"/>
  <c r="L36" i="2" l="1"/>
  <c r="L45" i="2" s="1"/>
  <c r="M11" i="2"/>
  <c r="M8" i="2"/>
  <c r="M15" i="2"/>
  <c r="M9" i="2"/>
  <c r="M12" i="2"/>
  <c r="L22" i="2"/>
  <c r="M20" i="2"/>
  <c r="M17" i="2"/>
  <c r="M18" i="2"/>
  <c r="M13" i="2"/>
  <c r="M16" i="2"/>
  <c r="L26" i="2"/>
  <c r="M10" i="2"/>
  <c r="M14" i="2"/>
  <c r="M19" i="2"/>
  <c r="L24" i="2" l="1"/>
  <c r="M22" i="2" s="1"/>
  <c r="L47" i="2"/>
  <c r="M33" i="2"/>
  <c r="M34" i="2"/>
  <c r="M45" i="2"/>
  <c r="M35" i="2"/>
  <c r="M38" i="2"/>
  <c r="M42" i="2"/>
  <c r="M37" i="2"/>
  <c r="M43" i="2"/>
  <c r="M41" i="2"/>
  <c r="M39" i="2"/>
  <c r="M40" i="2"/>
  <c r="M44" i="2"/>
  <c r="L51" i="2"/>
  <c r="L28" i="2"/>
  <c r="M26" i="2" s="1"/>
  <c r="M36" i="2"/>
  <c r="L49" i="2" l="1"/>
  <c r="M47" i="2" s="1"/>
  <c r="M28" i="2"/>
  <c r="M27" i="2"/>
  <c r="L53" i="2"/>
  <c r="M51" i="2" s="1"/>
  <c r="M23" i="2"/>
  <c r="M24" i="2"/>
  <c r="M53" i="2" l="1"/>
  <c r="M52" i="2"/>
  <c r="M48" i="2"/>
  <c r="M49" i="2"/>
  <c r="H8" i="2" l="1"/>
  <c r="H14" i="2"/>
  <c r="H19" i="2"/>
  <c r="H27" i="2" l="1"/>
  <c r="J19" i="2"/>
  <c r="H44" i="2"/>
  <c r="J8" i="2"/>
  <c r="H33" i="2"/>
  <c r="H39" i="2"/>
  <c r="H11" i="2"/>
  <c r="H20" i="2" s="1"/>
  <c r="I8" i="2" s="1"/>
  <c r="J14" i="2"/>
  <c r="H52" i="2" l="1"/>
  <c r="I11" i="2"/>
  <c r="H45" i="2"/>
  <c r="I33" i="2" s="1"/>
  <c r="I13" i="2"/>
  <c r="I17" i="2"/>
  <c r="I12" i="2"/>
  <c r="I18" i="2"/>
  <c r="I10" i="2"/>
  <c r="I20" i="2"/>
  <c r="I9" i="2"/>
  <c r="I16" i="2"/>
  <c r="I15" i="2"/>
  <c r="H22" i="2"/>
  <c r="J33" i="2"/>
  <c r="I14" i="2"/>
  <c r="J39" i="2"/>
  <c r="H36" i="2"/>
  <c r="I36" i="2" s="1"/>
  <c r="J11" i="2"/>
  <c r="I19" i="2"/>
  <c r="I44" i="2"/>
  <c r="J27" i="2"/>
  <c r="J44" i="2"/>
  <c r="J36" i="2" l="1"/>
  <c r="J20" i="2"/>
  <c r="J52" i="2"/>
  <c r="H47" i="2"/>
  <c r="H24" i="2"/>
  <c r="I22" i="2" s="1"/>
  <c r="I42" i="2"/>
  <c r="I38" i="2"/>
  <c r="I37" i="2"/>
  <c r="I40" i="2"/>
  <c r="I34" i="2"/>
  <c r="I43" i="2"/>
  <c r="I41" i="2"/>
  <c r="I35" i="2"/>
  <c r="I45" i="2"/>
  <c r="I39" i="2"/>
  <c r="K12" i="2" l="1"/>
  <c r="K10" i="2"/>
  <c r="K18" i="2"/>
  <c r="K13" i="2"/>
  <c r="K15" i="2"/>
  <c r="J22" i="2"/>
  <c r="J26" i="2"/>
  <c r="K17" i="2"/>
  <c r="K9" i="2"/>
  <c r="K20" i="2"/>
  <c r="K16" i="2"/>
  <c r="J45" i="2"/>
  <c r="K8" i="2"/>
  <c r="K19" i="2"/>
  <c r="K14" i="2"/>
  <c r="H26" i="2"/>
  <c r="I23" i="2"/>
  <c r="I24" i="2"/>
  <c r="H49" i="2"/>
  <c r="AB47" i="2"/>
  <c r="K11" i="2"/>
  <c r="J28" i="2" l="1"/>
  <c r="J51" i="2"/>
  <c r="J47" i="2"/>
  <c r="J24" i="2"/>
  <c r="K22" i="2" s="1"/>
  <c r="I48" i="2"/>
  <c r="I49" i="2"/>
  <c r="H28" i="2"/>
  <c r="I26" i="2"/>
  <c r="H51" i="2"/>
  <c r="K36" i="2"/>
  <c r="K42" i="2"/>
  <c r="K43" i="2"/>
  <c r="K40" i="2"/>
  <c r="K35" i="2"/>
  <c r="K34" i="2"/>
  <c r="K38" i="2"/>
  <c r="K41" i="2"/>
  <c r="K45" i="2"/>
  <c r="K37" i="2"/>
  <c r="K39" i="2"/>
  <c r="K33" i="2"/>
  <c r="K44" i="2"/>
  <c r="I47" i="2"/>
  <c r="K23" i="2" l="1"/>
  <c r="K24" i="2"/>
  <c r="J49" i="2"/>
  <c r="H53" i="2"/>
  <c r="I28" i="2"/>
  <c r="I27" i="2"/>
  <c r="AD47" i="2"/>
  <c r="K47" i="2"/>
  <c r="K26" i="2"/>
  <c r="K28" i="2"/>
  <c r="J53" i="2"/>
  <c r="K27" i="2"/>
  <c r="I53" i="2" l="1"/>
  <c r="H58" i="2"/>
  <c r="I52" i="2"/>
  <c r="I51" i="2"/>
  <c r="K48" i="2"/>
  <c r="K49" i="2"/>
  <c r="K51" i="2"/>
  <c r="J58" i="2"/>
  <c r="K53" i="2"/>
  <c r="K52" i="2"/>
  <c r="AE8" i="2" l="1"/>
  <c r="R23" i="2" l="1"/>
  <c r="R48" i="2" s="1"/>
  <c r="R8" i="2" l="1"/>
  <c r="R33" i="2" l="1"/>
  <c r="R19" i="2" l="1"/>
  <c r="R27" i="2" l="1"/>
  <c r="R44" i="2"/>
  <c r="R52" i="2" l="1"/>
  <c r="R14" i="2" l="1"/>
  <c r="R39" i="2" l="1"/>
  <c r="R11" i="2" l="1"/>
  <c r="R20" i="2" s="1"/>
  <c r="AE20" i="2"/>
  <c r="S11" i="2" l="1"/>
  <c r="AB23" i="2"/>
  <c r="AC23" i="2" s="1"/>
  <c r="R36" i="2"/>
  <c r="AF20" i="2"/>
  <c r="R45" i="2"/>
  <c r="S8" i="2"/>
  <c r="S10" i="2"/>
  <c r="S18" i="2"/>
  <c r="S13" i="2"/>
  <c r="S20" i="2"/>
  <c r="R26" i="2"/>
  <c r="S16" i="2"/>
  <c r="S17" i="2"/>
  <c r="R22" i="2"/>
  <c r="S9" i="2"/>
  <c r="S12" i="2"/>
  <c r="S15" i="2"/>
  <c r="S19" i="2"/>
  <c r="S14" i="2"/>
  <c r="R24" i="2" l="1"/>
  <c r="R47" i="2"/>
  <c r="S22" i="2"/>
  <c r="R51" i="2"/>
  <c r="R28" i="2"/>
  <c r="S26" i="2"/>
  <c r="S33" i="2"/>
  <c r="S35" i="2"/>
  <c r="S40" i="2"/>
  <c r="S34" i="2"/>
  <c r="S41" i="2"/>
  <c r="S42" i="2"/>
  <c r="S38" i="2"/>
  <c r="S43" i="2"/>
  <c r="S37" i="2"/>
  <c r="S45" i="2"/>
  <c r="S44" i="2"/>
  <c r="S39" i="2"/>
  <c r="S36" i="2"/>
  <c r="R53" i="2" l="1"/>
  <c r="R49" i="2"/>
  <c r="S47" i="2" s="1"/>
  <c r="S28" i="2"/>
  <c r="S27" i="2"/>
  <c r="S23" i="2"/>
  <c r="S24" i="2"/>
  <c r="S53" i="2" l="1"/>
  <c r="S52" i="2"/>
  <c r="S49" i="2"/>
  <c r="S48" i="2"/>
  <c r="S51" i="2"/>
  <c r="N14" i="2" l="1"/>
  <c r="N11" i="2" s="1"/>
  <c r="N8" i="2"/>
  <c r="AA20" i="2"/>
  <c r="P11" i="2" l="1"/>
  <c r="T36" i="2"/>
  <c r="N36" i="2"/>
  <c r="N33" i="2"/>
  <c r="P8" i="2"/>
  <c r="T33" i="2"/>
  <c r="N39" i="2"/>
  <c r="T39" i="2"/>
  <c r="P14" i="2"/>
  <c r="V33" i="2" l="1"/>
  <c r="P33" i="2"/>
  <c r="P36" i="2"/>
  <c r="N19" i="2"/>
  <c r="N20" i="2" s="1"/>
  <c r="V39" i="2"/>
  <c r="P39" i="2"/>
  <c r="V36" i="2"/>
  <c r="O20" i="2" l="1"/>
  <c r="O10" i="2"/>
  <c r="N45" i="2"/>
  <c r="T45" i="2"/>
  <c r="O17" i="2"/>
  <c r="N22" i="2"/>
  <c r="O12" i="2"/>
  <c r="O15" i="2"/>
  <c r="O16" i="2"/>
  <c r="O13" i="2"/>
  <c r="O18" i="2"/>
  <c r="O9" i="2"/>
  <c r="O14" i="2"/>
  <c r="O11" i="2"/>
  <c r="O8" i="2"/>
  <c r="T44" i="2"/>
  <c r="U44" i="2" s="1"/>
  <c r="N44" i="2"/>
  <c r="P19" i="2"/>
  <c r="P20" i="2" s="1"/>
  <c r="N27" i="2"/>
  <c r="O19" i="2"/>
  <c r="O44" i="2" l="1"/>
  <c r="N47" i="2"/>
  <c r="T47" i="2"/>
  <c r="N24" i="2"/>
  <c r="O22" i="2" s="1"/>
  <c r="U40" i="2"/>
  <c r="U35" i="2"/>
  <c r="U45" i="2"/>
  <c r="U38" i="2"/>
  <c r="U41" i="2"/>
  <c r="U43" i="2"/>
  <c r="U37" i="2"/>
  <c r="U42" i="2"/>
  <c r="U34" i="2"/>
  <c r="U39" i="2"/>
  <c r="U33" i="2"/>
  <c r="U36" i="2"/>
  <c r="O35" i="2"/>
  <c r="O41" i="2"/>
  <c r="O42" i="2"/>
  <c r="O38" i="2"/>
  <c r="O45" i="2"/>
  <c r="O37" i="2"/>
  <c r="O34" i="2"/>
  <c r="O40" i="2"/>
  <c r="O43" i="2"/>
  <c r="O33" i="2"/>
  <c r="O36" i="2"/>
  <c r="O39" i="2"/>
  <c r="Q18" i="2"/>
  <c r="Q16" i="2"/>
  <c r="Q10" i="2"/>
  <c r="V45" i="2"/>
  <c r="Q20" i="2"/>
  <c r="P45" i="2"/>
  <c r="Q13" i="2"/>
  <c r="Q12" i="2"/>
  <c r="Q15" i="2"/>
  <c r="Q9" i="2"/>
  <c r="P22" i="2"/>
  <c r="Q17" i="2"/>
  <c r="Q11" i="2"/>
  <c r="Q8" i="2"/>
  <c r="Q14" i="2"/>
  <c r="N52" i="2"/>
  <c r="T52" i="2"/>
  <c r="P27" i="2"/>
  <c r="P26" i="2" s="1"/>
  <c r="V44" i="2"/>
  <c r="P44" i="2"/>
  <c r="Q19" i="2"/>
  <c r="V51" i="2" l="1"/>
  <c r="P51" i="2"/>
  <c r="P28" i="2"/>
  <c r="Q27" i="2" s="1"/>
  <c r="W41" i="2"/>
  <c r="W37" i="2"/>
  <c r="W42" i="2"/>
  <c r="W34" i="2"/>
  <c r="W40" i="2"/>
  <c r="W35" i="2"/>
  <c r="W38" i="2"/>
  <c r="W45" i="2"/>
  <c r="W43" i="2"/>
  <c r="W36" i="2"/>
  <c r="W39" i="2"/>
  <c r="W33" i="2"/>
  <c r="Q40" i="2"/>
  <c r="Q35" i="2"/>
  <c r="Q38" i="2"/>
  <c r="Q34" i="2"/>
  <c r="Q45" i="2"/>
  <c r="Q37" i="2"/>
  <c r="Q41" i="2"/>
  <c r="Q43" i="2"/>
  <c r="Q42" i="2"/>
  <c r="Q39" i="2"/>
  <c r="Q33" i="2"/>
  <c r="Q36" i="2"/>
  <c r="P47" i="2"/>
  <c r="V47" i="2"/>
  <c r="P24" i="2"/>
  <c r="Q22" i="2" s="1"/>
  <c r="N26" i="2"/>
  <c r="O24" i="2"/>
  <c r="O23" i="2"/>
  <c r="N49" i="2"/>
  <c r="T49" i="2"/>
  <c r="U47" i="2" s="1"/>
  <c r="Q44" i="2"/>
  <c r="W44" i="2"/>
  <c r="O47" i="2"/>
  <c r="V52" i="2"/>
  <c r="P52" i="2"/>
  <c r="P49" i="2" l="1"/>
  <c r="V49" i="2"/>
  <c r="W47" i="2" s="1"/>
  <c r="Q23" i="2"/>
  <c r="Q24" i="2"/>
  <c r="AF47" i="2"/>
  <c r="Q47" i="2"/>
  <c r="N28" i="2"/>
  <c r="T51" i="2"/>
  <c r="N51" i="2"/>
  <c r="P53" i="2"/>
  <c r="Q51" i="2" s="1"/>
  <c r="V53" i="2"/>
  <c r="W53" i="2" s="1"/>
  <c r="Q28" i="2"/>
  <c r="U49" i="2"/>
  <c r="U48" i="2"/>
  <c r="O49" i="2"/>
  <c r="O48" i="2"/>
  <c r="Q26" i="2"/>
  <c r="W51" i="2" l="1"/>
  <c r="W52" i="2"/>
  <c r="O28" i="2"/>
  <c r="T53" i="2"/>
  <c r="U51" i="2" s="1"/>
  <c r="N53" i="2"/>
  <c r="O27" i="2"/>
  <c r="W48" i="2"/>
  <c r="W49" i="2"/>
  <c r="Q48" i="2"/>
  <c r="Q49" i="2"/>
  <c r="AD20" i="2"/>
  <c r="Q53" i="2"/>
  <c r="Q52" i="2"/>
  <c r="O26" i="2"/>
  <c r="O53" i="2" l="1"/>
  <c r="AB20" i="2"/>
  <c r="O52" i="2"/>
  <c r="U53" i="2"/>
  <c r="U52" i="2"/>
  <c r="O51" i="2"/>
</calcChain>
</file>

<file path=xl/sharedStrings.xml><?xml version="1.0" encoding="utf-8"?>
<sst xmlns="http://schemas.openxmlformats.org/spreadsheetml/2006/main" count="252" uniqueCount="40">
  <si>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</si>
  <si>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</si>
  <si>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</si>
  <si>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</si>
  <si>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</si>
  <si>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</si>
  <si>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</si>
  <si>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</si>
  <si>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</si>
  <si>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</si>
  <si>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</si>
  <si>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</si>
  <si>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</si>
  <si>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</si>
  <si>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</si>
  <si>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</si>
  <si>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</si>
  <si>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</si>
  <si>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</si>
  <si>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</si>
  <si>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</si>
  <si>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</si>
  <si>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1+2+3+4</t>
  </si>
  <si>
    <t>רבעון 1+2+3</t>
  </si>
  <si>
    <t>רבעון 1+2</t>
  </si>
  <si>
    <t>רבעון 1</t>
  </si>
  <si>
    <t>רבעון 4</t>
  </si>
  <si>
    <t>רבעון 3</t>
  </si>
  <si>
    <t>רבעון 2</t>
  </si>
  <si>
    <t>נתונים לרבעון בשנת :</t>
  </si>
  <si>
    <t>פירוט תרומת אפיקי השקעה בגין התחייבויות מסוג 10,30,50</t>
  </si>
  <si>
    <t>נוסטרו חיים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</si>
  <si>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</si>
  <si>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</si>
  <si>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</si>
  <si>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</si>
  <si>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דיויד שילד חברה לביטוח בע"מ</t>
  </si>
  <si>
    <t>חו"ל</t>
  </si>
  <si>
    <t>ישראל למעט בנק פועלים ניו-יורק</t>
  </si>
  <si>
    <t>השקעות בחברות בת ואחרות- ישראל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</si>
</sst>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_-* #,##0.00_-;\-* #,##0.00_-;_-* &quot;-&quot;??_-;_-@_-"/>
    <numFmt numFmtId="166" formatCode="0.0%"/>
    <numFmt numFmtId="167" formatCode="#,##0_ ;[Red]\-#,##0\ "/>
    <numFmt numFmtId="168" formatCode="_ * #,##0.00%_ ;_*\ \(#,##0.0%\)_ ;_ * &quot;-&quot;??_ ;_ @_ "/>
    <numFmt numFmtId="169" formatCode="_ [$₪-40D]\ * #,##0.00_ ;_ [$₪-40D]\ * \-#,##0.00_ ;_ [$₪-40D]\ * &quot;-&quot;??_ ;_ @_ "/>
    <numFmt numFmtId="170" formatCode="[Color43]0.00%;[Color3]\-0.00%"/>
    <numFmt numFmtId="171" formatCode="[Color51]0.0%;[Color3]\-0.0%"/>
    <numFmt numFmtId="172" formatCode="dd\ \בmmmm\ yyyy\ "/>
    <numFmt numFmtId="173" formatCode="dd\.mm\.yy"/>
    <numFmt numFmtId="174" formatCode="dd\.mm\.yyyy"/>
    <numFmt numFmtId="175" formatCode="[Color10]#,##0_);[Color30]#,##0_)"/>
    <numFmt numFmtId="176" formatCode="[Color10]\(#,##0\);[Color30]#,##0_)"/>
    <numFmt numFmtId="177" formatCode="[Color10]#,##0_);[Color30]\(#,##0\)"/>
    <numFmt numFmtId="178" formatCode="_(* #,##0_);_(* \(#,##0\);_(* &quot;-&quot;_);_(@_)"/>
    <numFmt numFmtId="179" formatCode="&quot;₪&quot;#,##0.00;[Red]&quot;₪&quot;\-#,##0.00"/>
    <numFmt numFmtId="180" formatCode="_ [$€-2]\ * #,##0.00_ ;_ [$€-2]\ * \-#,##0.00_ ;_ [$€-2]\ * &quot;-&quot;??_ "/>
    <numFmt numFmtId="181" formatCode="mmmm\ yyyy"/>
    <numFmt numFmtId="182" formatCode="#,##0\ ;[Red]&quot;(&quot;#,##0&quot;) &quot;"/>
    <numFmt numFmtId="183" formatCode="#,##0\ ;&quot;(&quot;#,##0&quot;)&quot;"/>
    <numFmt numFmtId="184" formatCode="_-* #,##0_-;\-* #,##0_-;_-* &quot;-&quot;??_-;_-@_-"/>
  </numFmts>
  <fonts count="26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sz val="11"/>
      <color indexed="8"/>
      <name val="Arial"/>
      <family val="2"/>
      <charset val="177"/>
    </font>
    <font>
      <sz val="10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177"/>
    </font>
    <font>
      <u/>
      <sz val="9.9"/>
      <color indexed="12"/>
      <name val="Arial"/>
      <family val="2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39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170" fontId="4" fillId="0" borderId="0">
      <alignment horizontal="right"/>
      <protection hidden="1"/>
    </xf>
    <xf numFmtId="171" fontId="4" fillId="0" borderId="0">
      <alignment horizontal="right"/>
      <protection hidden="1"/>
    </xf>
    <xf numFmtId="170" fontId="4" fillId="0" borderId="0">
      <alignment horizontal="right"/>
      <protection hidden="1"/>
    </xf>
    <xf numFmtId="0" fontId="3" fillId="0" borderId="0"/>
    <xf numFmtId="172" fontId="4" fillId="0" borderId="0">
      <alignment horizontal="right"/>
      <protection hidden="1"/>
    </xf>
    <xf numFmtId="173" fontId="4" fillId="0" borderId="0">
      <alignment horizontal="right"/>
      <protection locked="0"/>
    </xf>
    <xf numFmtId="174" fontId="4" fillId="0" borderId="0">
      <alignment horizontal="right"/>
      <protection locked="0"/>
    </xf>
    <xf numFmtId="14" fontId="4" fillId="0" borderId="0">
      <alignment horizontal="right"/>
      <protection locked="0"/>
    </xf>
    <xf numFmtId="14" fontId="4" fillId="0" borderId="0">
      <alignment horizontal="right"/>
      <protection locked="0"/>
    </xf>
    <xf numFmtId="175" fontId="4" fillId="0" borderId="0">
      <alignment horizontal="right"/>
      <protection hidden="1"/>
    </xf>
    <xf numFmtId="176" fontId="4" fillId="0" borderId="0">
      <alignment horizontal="right"/>
      <protection hidden="1"/>
    </xf>
    <xf numFmtId="175" fontId="4" fillId="0" borderId="0">
      <alignment horizontal="right"/>
      <protection hidden="1"/>
    </xf>
    <xf numFmtId="177" fontId="4" fillId="0" borderId="0">
      <alignment horizontal="right"/>
      <protection hidden="1"/>
    </xf>
    <xf numFmtId="177" fontId="4" fillId="0" borderId="0">
      <alignment horizontal="right"/>
      <protection locked="0"/>
    </xf>
    <xf numFmtId="37" fontId="4" fillId="0" borderId="0">
      <alignment horizontal="right"/>
      <protection hidden="1"/>
    </xf>
    <xf numFmtId="175" fontId="4" fillId="0" borderId="0">
      <alignment horizontal="right"/>
      <protection hidden="1"/>
    </xf>
    <xf numFmtId="175" fontId="4" fillId="0" borderId="0">
      <alignment horizontal="right"/>
      <protection hidden="1"/>
    </xf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9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80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3" fillId="0" borderId="0"/>
    <xf numFmtId="0" fontId="1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7" fontId="4" fillId="0" borderId="0"/>
    <xf numFmtId="0" fontId="4" fillId="0" borderId="0" applyNumberFormat="0" applyBorder="0" applyAlignment="0" applyProtection="0"/>
    <xf numFmtId="17" fontId="4" fillId="0" borderId="0">
      <alignment horizontal="right"/>
      <protection locked="0"/>
    </xf>
    <xf numFmtId="0" fontId="4" fillId="0" borderId="0">
      <alignment horizontal="right"/>
      <protection hidden="1"/>
    </xf>
    <xf numFmtId="0" fontId="4" fillId="0" borderId="0">
      <alignment horizontal="right"/>
      <protection hidden="1"/>
    </xf>
    <xf numFmtId="37" fontId="4" fillId="0" borderId="0"/>
    <xf numFmtId="181" fontId="4" fillId="0" borderId="0">
      <alignment horizontal="right"/>
      <protection hidden="1"/>
    </xf>
    <xf numFmtId="0" fontId="4" fillId="0" borderId="0">
      <alignment horizontal="right" readingOrder="2"/>
    </xf>
    <xf numFmtId="0" fontId="4" fillId="0" borderId="0">
      <alignment horizontal="right" readingOrder="2"/>
      <protection hidden="1"/>
    </xf>
    <xf numFmtId="0" fontId="4" fillId="0" borderId="0">
      <alignment horizontal="right"/>
      <protection hidden="1"/>
    </xf>
    <xf numFmtId="37" fontId="4" fillId="0" borderId="0"/>
    <xf numFmtId="17" fontId="4" fillId="0" borderId="0">
      <alignment horizontal="right"/>
      <protection locked="0"/>
    </xf>
    <xf numFmtId="172" fontId="4" fillId="0" borderId="0">
      <alignment horizontal="right" readingOrder="2"/>
      <protection hidden="1"/>
    </xf>
    <xf numFmtId="0" fontId="2" fillId="0" borderId="0">
      <alignment horizontal="right" wrapText="1"/>
    </xf>
    <xf numFmtId="0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6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</cellStyleXfs>
  <cellXfs count="119">
    <xf numFmtId="0" fontId="0" fillId="0" borderId="0" xfId="0"/>
    <xf numFmtId="167" fontId="22" fillId="2" borderId="3" xfId="1" applyNumberFormat="1" applyFont="1" applyFill="1" applyBorder="1" applyAlignment="1">
      <alignment horizontal="right" vertical="center"/>
    </xf>
    <xf numFmtId="166" fontId="22" fillId="2" borderId="13" xfId="4" applyNumberFormat="1" applyFont="1" applyFill="1" applyBorder="1" applyAlignment="1">
      <alignment horizontal="right" vertical="center"/>
    </xf>
    <xf numFmtId="166" fontId="22" fillId="3" borderId="13" xfId="4" applyNumberFormat="1" applyFont="1" applyFill="1" applyBorder="1" applyAlignment="1">
      <alignment horizontal="right" vertical="center"/>
    </xf>
    <xf numFmtId="166" fontId="22" fillId="2" borderId="1" xfId="4" applyNumberFormat="1" applyFont="1" applyFill="1" applyBorder="1" applyAlignment="1">
      <alignment horizontal="right" vertical="center"/>
    </xf>
    <xf numFmtId="166" fontId="22" fillId="3" borderId="1" xfId="4" applyNumberFormat="1" applyFont="1" applyFill="1" applyBorder="1" applyAlignment="1">
      <alignment horizontal="right" vertical="center"/>
    </xf>
    <xf numFmtId="167" fontId="22" fillId="3" borderId="3" xfId="1" applyNumberFormat="1" applyFont="1" applyFill="1" applyBorder="1" applyAlignment="1">
      <alignment horizontal="right" vertical="center"/>
    </xf>
    <xf numFmtId="0" fontId="20" fillId="4" borderId="14" xfId="2" applyFont="1" applyFill="1" applyBorder="1"/>
    <xf numFmtId="166" fontId="21" fillId="2" borderId="4" xfId="1" applyNumberFormat="1" applyFont="1" applyFill="1" applyBorder="1" applyAlignment="1">
      <alignment horizontal="right"/>
    </xf>
    <xf numFmtId="166" fontId="21" fillId="3" borderId="4" xfId="1" applyNumberFormat="1" applyFont="1" applyFill="1" applyBorder="1" applyAlignment="1">
      <alignment horizontal="right"/>
    </xf>
    <xf numFmtId="166" fontId="21" fillId="2" borderId="4" xfId="4" applyNumberFormat="1" applyFont="1" applyFill="1" applyBorder="1" applyAlignment="1">
      <alignment horizontal="right"/>
    </xf>
    <xf numFmtId="166" fontId="21" fillId="2" borderId="15" xfId="1" applyNumberFormat="1" applyFont="1" applyFill="1" applyBorder="1" applyAlignment="1">
      <alignment horizontal="right"/>
    </xf>
    <xf numFmtId="167" fontId="21" fillId="2" borderId="6" xfId="1" applyNumberFormat="1" applyFont="1" applyFill="1" applyBorder="1" applyAlignment="1">
      <alignment horizontal="right"/>
    </xf>
    <xf numFmtId="166" fontId="21" fillId="3" borderId="15" xfId="1" applyNumberFormat="1" applyFont="1" applyFill="1" applyBorder="1" applyAlignment="1">
      <alignment horizontal="right"/>
    </xf>
    <xf numFmtId="167" fontId="21" fillId="3" borderId="6" xfId="1" applyNumberFormat="1" applyFont="1" applyFill="1" applyBorder="1" applyAlignment="1">
      <alignment horizontal="right"/>
    </xf>
    <xf numFmtId="0" fontId="20" fillId="4" borderId="16" xfId="2" applyFont="1" applyFill="1" applyBorder="1"/>
    <xf numFmtId="166" fontId="21" fillId="2" borderId="7" xfId="4" applyNumberFormat="1" applyFont="1" applyFill="1" applyBorder="1" applyAlignment="1">
      <alignment horizontal="right"/>
    </xf>
    <xf numFmtId="166" fontId="21" fillId="2" borderId="17" xfId="1" applyNumberFormat="1" applyFont="1" applyFill="1" applyBorder="1" applyAlignment="1">
      <alignment horizontal="right"/>
    </xf>
    <xf numFmtId="167" fontId="21" fillId="2" borderId="9" xfId="1" applyNumberFormat="1" applyFont="1" applyFill="1" applyBorder="1" applyAlignment="1">
      <alignment horizontal="right"/>
    </xf>
    <xf numFmtId="166" fontId="21" fillId="3" borderId="4" xfId="4" applyNumberFormat="1" applyFont="1" applyFill="1" applyBorder="1" applyAlignment="1">
      <alignment horizontal="right"/>
    </xf>
    <xf numFmtId="166" fontId="21" fillId="3" borderId="17" xfId="1" applyNumberFormat="1" applyFont="1" applyFill="1" applyBorder="1" applyAlignment="1">
      <alignment horizontal="right"/>
    </xf>
    <xf numFmtId="167" fontId="21" fillId="3" borderId="9" xfId="1" applyNumberFormat="1" applyFont="1" applyFill="1" applyBorder="1" applyAlignment="1">
      <alignment horizontal="right"/>
    </xf>
    <xf numFmtId="0" fontId="20" fillId="4" borderId="18" xfId="2" applyFont="1" applyFill="1" applyBorder="1"/>
    <xf numFmtId="0" fontId="19" fillId="0" borderId="0" xfId="3" applyFont="1"/>
    <xf numFmtId="0" fontId="17" fillId="0" borderId="0" xfId="0" applyFont="1"/>
    <xf numFmtId="0" fontId="17" fillId="0" borderId="0" xfId="0" applyFont="1" applyAlignment="1">
      <alignment horizontal="right" readingOrder="2"/>
    </xf>
    <xf numFmtId="0" fontId="14" fillId="0" borderId="0" xfId="0" applyFont="1"/>
    <xf numFmtId="167" fontId="21" fillId="0" borderId="0" xfId="1" applyNumberFormat="1" applyFont="1" applyFill="1" applyBorder="1"/>
    <xf numFmtId="168" fontId="21" fillId="0" borderId="0" xfId="2" applyNumberFormat="1" applyFont="1"/>
    <xf numFmtId="0" fontId="20" fillId="4" borderId="9" xfId="2" applyFont="1" applyFill="1" applyBorder="1"/>
    <xf numFmtId="166" fontId="21" fillId="3" borderId="7" xfId="1" applyNumberFormat="1" applyFont="1" applyFill="1" applyBorder="1" applyAlignment="1">
      <alignment horizontal="right"/>
    </xf>
    <xf numFmtId="167" fontId="21" fillId="3" borderId="8" xfId="1" applyNumberFormat="1" applyFont="1" applyFill="1" applyBorder="1" applyAlignment="1">
      <alignment horizontal="right"/>
    </xf>
    <xf numFmtId="166" fontId="21" fillId="2" borderId="7" xfId="1" applyNumberFormat="1" applyFont="1" applyFill="1" applyBorder="1" applyAlignment="1">
      <alignment horizontal="right"/>
    </xf>
    <xf numFmtId="167" fontId="21" fillId="2" borderId="8" xfId="1" applyNumberFormat="1" applyFont="1" applyFill="1" applyBorder="1" applyAlignment="1">
      <alignment horizontal="right"/>
    </xf>
    <xf numFmtId="0" fontId="20" fillId="4" borderId="6" xfId="2" applyFont="1" applyFill="1" applyBorder="1"/>
    <xf numFmtId="167" fontId="21" fillId="3" borderId="5" xfId="1" applyNumberFormat="1" applyFont="1" applyFill="1" applyBorder="1" applyAlignment="1">
      <alignment horizontal="right"/>
    </xf>
    <xf numFmtId="167" fontId="21" fillId="2" borderId="5" xfId="1" applyNumberFormat="1" applyFont="1" applyFill="1" applyBorder="1" applyAlignment="1">
      <alignment horizontal="right"/>
    </xf>
    <xf numFmtId="0" fontId="20" fillId="4" borderId="3" xfId="2" applyFont="1" applyFill="1" applyBorder="1"/>
    <xf numFmtId="167" fontId="20" fillId="2" borderId="3" xfId="1" applyNumberFormat="1" applyFont="1" applyFill="1" applyBorder="1" applyAlignment="1">
      <alignment horizontal="right"/>
    </xf>
    <xf numFmtId="166" fontId="20" fillId="2" borderId="1" xfId="1" applyNumberFormat="1" applyFont="1" applyFill="1" applyBorder="1" applyAlignment="1">
      <alignment horizontal="right"/>
    </xf>
    <xf numFmtId="167" fontId="20" fillId="2" borderId="2" xfId="1" applyNumberFormat="1" applyFont="1" applyFill="1" applyBorder="1" applyAlignment="1">
      <alignment horizontal="right"/>
    </xf>
    <xf numFmtId="0" fontId="21" fillId="0" borderId="0" xfId="2" applyFont="1"/>
    <xf numFmtId="167" fontId="21" fillId="0" borderId="0" xfId="2" applyNumberFormat="1" applyFont="1"/>
    <xf numFmtId="166" fontId="21" fillId="0" borderId="0" xfId="2" applyNumberFormat="1" applyFont="1"/>
    <xf numFmtId="166" fontId="21" fillId="3" borderId="7" xfId="4" applyNumberFormat="1" applyFont="1" applyFill="1" applyBorder="1" applyAlignment="1">
      <alignment horizontal="right"/>
    </xf>
    <xf numFmtId="0" fontId="20" fillId="4" borderId="12" xfId="2" applyFont="1" applyFill="1" applyBorder="1"/>
    <xf numFmtId="0" fontId="20" fillId="4" borderId="11" xfId="2" applyFont="1" applyFill="1" applyBorder="1"/>
    <xf numFmtId="0" fontId="20" fillId="4" borderId="10" xfId="2" applyFont="1" applyFill="1" applyBorder="1"/>
    <xf numFmtId="0" fontId="23" fillId="0" borderId="18" xfId="0" applyFont="1" applyBorder="1" applyProtection="1">
      <protection hidden="1"/>
    </xf>
    <xf numFmtId="0" fontId="24" fillId="0" borderId="0" xfId="3" applyFont="1"/>
    <xf numFmtId="0" fontId="20" fillId="4" borderId="3" xfId="2" applyFont="1" applyFill="1" applyBorder="1" applyAlignment="1">
      <alignment horizontal="center" vertical="center" readingOrder="2"/>
    </xf>
    <xf numFmtId="0" fontId="20" fillId="4" borderId="13" xfId="2" applyFont="1" applyFill="1" applyBorder="1" applyAlignment="1">
      <alignment horizontal="center" vertical="center" readingOrder="2"/>
    </xf>
    <xf numFmtId="0" fontId="20" fillId="4" borderId="1" xfId="2" applyFont="1" applyFill="1" applyBorder="1" applyAlignment="1">
      <alignment horizontal="center" vertical="center" readingOrder="2"/>
    </xf>
    <xf numFmtId="182" fontId="14" fillId="3" borderId="9" xfId="0" applyNumberFormat="1" applyFont="1" applyFill="1" applyBorder="1" applyProtection="1">
      <protection hidden="1"/>
    </xf>
    <xf numFmtId="182" fontId="23" fillId="3" borderId="22" xfId="0" applyNumberFormat="1" applyFont="1" applyFill="1" applyBorder="1" applyProtection="1">
      <protection hidden="1"/>
    </xf>
    <xf numFmtId="182" fontId="14" fillId="3" borderId="3" xfId="0" applyNumberFormat="1" applyFont="1" applyFill="1" applyBorder="1" applyProtection="1">
      <protection hidden="1"/>
    </xf>
    <xf numFmtId="167" fontId="21" fillId="0" borderId="26" xfId="1" applyNumberFormat="1" applyFont="1" applyFill="1" applyBorder="1"/>
    <xf numFmtId="166" fontId="21" fillId="3" borderId="23" xfId="1" applyNumberFormat="1" applyFont="1" applyFill="1" applyBorder="1" applyAlignment="1">
      <alignment horizontal="right"/>
    </xf>
    <xf numFmtId="166" fontId="22" fillId="3" borderId="27" xfId="4" applyNumberFormat="1" applyFont="1" applyFill="1" applyBorder="1" applyAlignment="1">
      <alignment horizontal="right" vertical="center"/>
    </xf>
    <xf numFmtId="166" fontId="21" fillId="3" borderId="13" xfId="1" applyNumberFormat="1" applyFont="1" applyFill="1" applyBorder="1" applyAlignment="1">
      <alignment horizontal="right"/>
    </xf>
    <xf numFmtId="183" fontId="14" fillId="0" borderId="26" xfId="0" applyNumberFormat="1" applyFont="1" applyBorder="1" applyProtection="1">
      <protection hidden="1"/>
    </xf>
    <xf numFmtId="182" fontId="14" fillId="7" borderId="9" xfId="0" applyNumberFormat="1" applyFont="1" applyFill="1" applyBorder="1" applyProtection="1">
      <protection hidden="1"/>
    </xf>
    <xf numFmtId="166" fontId="21" fillId="7" borderId="17" xfId="1" applyNumberFormat="1" applyFont="1" applyFill="1" applyBorder="1" applyAlignment="1">
      <alignment horizontal="right"/>
    </xf>
    <xf numFmtId="167" fontId="21" fillId="7" borderId="6" xfId="1" applyNumberFormat="1" applyFont="1" applyFill="1" applyBorder="1" applyAlignment="1">
      <alignment horizontal="right"/>
    </xf>
    <xf numFmtId="166" fontId="21" fillId="7" borderId="15" xfId="1" applyNumberFormat="1" applyFont="1" applyFill="1" applyBorder="1" applyAlignment="1">
      <alignment horizontal="right"/>
    </xf>
    <xf numFmtId="182" fontId="14" fillId="7" borderId="3" xfId="0" applyNumberFormat="1" applyFont="1" applyFill="1" applyBorder="1" applyProtection="1">
      <protection hidden="1"/>
    </xf>
    <xf numFmtId="166" fontId="21" fillId="7" borderId="13" xfId="1" applyNumberFormat="1" applyFont="1" applyFill="1" applyBorder="1" applyAlignment="1">
      <alignment horizontal="right"/>
    </xf>
    <xf numFmtId="182" fontId="23" fillId="7" borderId="22" xfId="0" applyNumberFormat="1" applyFont="1" applyFill="1" applyBorder="1" applyProtection="1">
      <protection hidden="1"/>
    </xf>
    <xf numFmtId="166" fontId="22" fillId="7" borderId="27" xfId="4" applyNumberFormat="1" applyFont="1" applyFill="1" applyBorder="1" applyAlignment="1">
      <alignment horizontal="right" vertical="center"/>
    </xf>
    <xf numFmtId="167" fontId="21" fillId="7" borderId="26" xfId="1" applyNumberFormat="1" applyFont="1" applyFill="1" applyBorder="1"/>
    <xf numFmtId="168" fontId="21" fillId="7" borderId="0" xfId="2" applyNumberFormat="1" applyFont="1" applyFill="1"/>
    <xf numFmtId="166" fontId="21" fillId="7" borderId="7" xfId="1" applyNumberFormat="1" applyFont="1" applyFill="1" applyBorder="1" applyAlignment="1">
      <alignment horizontal="right"/>
    </xf>
    <xf numFmtId="166" fontId="21" fillId="7" borderId="4" xfId="1" applyNumberFormat="1" applyFont="1" applyFill="1" applyBorder="1" applyAlignment="1">
      <alignment horizontal="right"/>
    </xf>
    <xf numFmtId="166" fontId="21" fillId="7" borderId="23" xfId="1" applyNumberFormat="1" applyFont="1" applyFill="1" applyBorder="1" applyAlignment="1">
      <alignment horizontal="right"/>
    </xf>
    <xf numFmtId="183" fontId="14" fillId="7" borderId="26" xfId="0" applyNumberFormat="1" applyFont="1" applyFill="1" applyBorder="1" applyProtection="1">
      <protection hidden="1"/>
    </xf>
    <xf numFmtId="166" fontId="21" fillId="7" borderId="0" xfId="2" applyNumberFormat="1" applyFont="1" applyFill="1"/>
    <xf numFmtId="169" fontId="21" fillId="0" borderId="0" xfId="2" applyNumberFormat="1" applyFont="1"/>
    <xf numFmtId="167" fontId="20" fillId="3" borderId="3" xfId="1" applyNumberFormat="1" applyFont="1" applyFill="1" applyBorder="1" applyAlignment="1">
      <alignment horizontal="right"/>
    </xf>
    <xf numFmtId="166" fontId="20" fillId="3" borderId="1" xfId="1" applyNumberFormat="1" applyFont="1" applyFill="1" applyBorder="1" applyAlignment="1">
      <alignment horizontal="right"/>
    </xf>
    <xf numFmtId="167" fontId="20" fillId="3" borderId="2" xfId="1" applyNumberFormat="1" applyFont="1" applyFill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right" readingOrder="2"/>
    </xf>
    <xf numFmtId="0" fontId="20" fillId="5" borderId="0" xfId="2" applyFont="1" applyFill="1"/>
    <xf numFmtId="167" fontId="21" fillId="7" borderId="28" xfId="1" applyNumberFormat="1" applyFont="1" applyFill="1" applyBorder="1" applyAlignment="1">
      <alignment horizontal="right"/>
    </xf>
    <xf numFmtId="182" fontId="14" fillId="7" borderId="6" xfId="0" applyNumberFormat="1" applyFont="1" applyFill="1" applyBorder="1" applyProtection="1">
      <protection hidden="1"/>
    </xf>
    <xf numFmtId="182" fontId="14" fillId="0" borderId="0" xfId="0" applyNumberFormat="1" applyFont="1"/>
    <xf numFmtId="182" fontId="21" fillId="7" borderId="6" xfId="1" applyNumberFormat="1" applyFont="1" applyFill="1" applyBorder="1" applyAlignment="1">
      <alignment horizontal="right"/>
    </xf>
    <xf numFmtId="165" fontId="25" fillId="8" borderId="0" xfId="538" applyFont="1" applyFill="1"/>
    <xf numFmtId="3" fontId="14" fillId="0" borderId="0" xfId="0" applyNumberFormat="1" applyFont="1"/>
    <xf numFmtId="184" fontId="14" fillId="10" borderId="0" xfId="538" applyNumberFormat="1" applyFont="1" applyFill="1"/>
    <xf numFmtId="184" fontId="14" fillId="10" borderId="29" xfId="538" applyNumberFormat="1" applyFont="1" applyFill="1" applyBorder="1"/>
    <xf numFmtId="184" fontId="14" fillId="9" borderId="0" xfId="538" applyNumberFormat="1" applyFont="1" applyFill="1"/>
    <xf numFmtId="184" fontId="14" fillId="9" borderId="29" xfId="538" applyNumberFormat="1" applyFont="1" applyFill="1" applyBorder="1"/>
    <xf numFmtId="184" fontId="14" fillId="11" borderId="0" xfId="538" applyNumberFormat="1" applyFont="1" applyFill="1"/>
    <xf numFmtId="184" fontId="14" fillId="11" borderId="29" xfId="538" applyNumberFormat="1" applyFont="1" applyFill="1" applyBorder="1"/>
    <xf numFmtId="167" fontId="14" fillId="12" borderId="0" xfId="0" applyNumberFormat="1" applyFont="1" applyFill="1"/>
    <xf numFmtId="167" fontId="14" fillId="12" borderId="29" xfId="0" applyNumberFormat="1" applyFont="1" applyFill="1" applyBorder="1"/>
    <xf numFmtId="184" fontId="14" fillId="0" borderId="0" xfId="538" applyNumberFormat="1" applyFont="1"/>
    <xf numFmtId="184" fontId="25" fillId="0" borderId="0" xfId="538" applyNumberFormat="1" applyFont="1"/>
    <xf numFmtId="0" fontId="23" fillId="4" borderId="9" xfId="0" applyFont="1" applyFill="1" applyBorder="1" applyAlignment="1" applyProtection="1">
      <alignment horizontal="center" vertical="center"/>
      <protection hidden="1"/>
    </xf>
    <xf numFmtId="0" fontId="23" fillId="4" borderId="17" xfId="0" applyFont="1" applyFill="1" applyBorder="1" applyAlignment="1" applyProtection="1">
      <alignment horizontal="center" vertical="center"/>
      <protection hidden="1"/>
    </xf>
    <xf numFmtId="0" fontId="23" fillId="4" borderId="7" xfId="0" applyFont="1" applyFill="1" applyBorder="1" applyAlignment="1" applyProtection="1">
      <alignment horizontal="center" vertical="center"/>
      <protection hidden="1"/>
    </xf>
    <xf numFmtId="0" fontId="23" fillId="4" borderId="11" xfId="0" applyFont="1" applyFill="1" applyBorder="1" applyAlignment="1" applyProtection="1">
      <alignment horizontal="center" vertical="center" wrapText="1"/>
      <protection hidden="1"/>
    </xf>
    <xf numFmtId="0" fontId="23" fillId="4" borderId="5" xfId="0" applyFont="1" applyFill="1" applyBorder="1" applyAlignment="1" applyProtection="1">
      <alignment horizontal="center" vertical="center" wrapText="1"/>
      <protection hidden="1"/>
    </xf>
    <xf numFmtId="0" fontId="23" fillId="4" borderId="15" xfId="0" applyFont="1" applyFill="1" applyBorder="1" applyAlignment="1" applyProtection="1">
      <alignment horizontal="center" vertical="center" wrapText="1"/>
      <protection hidden="1"/>
    </xf>
    <xf numFmtId="0" fontId="23" fillId="4" borderId="4" xfId="0" applyFont="1" applyFill="1" applyBorder="1" applyAlignment="1" applyProtection="1">
      <alignment horizontal="center" vertical="center" wrapText="1"/>
      <protection hidden="1"/>
    </xf>
    <xf numFmtId="0" fontId="23" fillId="4" borderId="6" xfId="0" applyFont="1" applyFill="1" applyBorder="1" applyAlignment="1" applyProtection="1">
      <alignment horizontal="center" vertical="center" wrapText="1"/>
      <protection hidden="1"/>
    </xf>
    <xf numFmtId="0" fontId="23" fillId="0" borderId="24" xfId="0" applyFont="1" applyBorder="1" applyAlignment="1" applyProtection="1">
      <alignment horizontal="center" vertical="center"/>
      <protection hidden="1"/>
    </xf>
    <xf numFmtId="0" fontId="23" fillId="0" borderId="25" xfId="0" applyFont="1" applyBorder="1" applyAlignment="1" applyProtection="1">
      <alignment horizontal="center" vertical="center"/>
      <protection hidden="1"/>
    </xf>
    <xf numFmtId="0" fontId="23" fillId="4" borderId="8" xfId="0" applyFont="1" applyFill="1" applyBorder="1" applyAlignment="1" applyProtection="1">
      <alignment horizontal="center" vertical="center"/>
      <protection hidden="1"/>
    </xf>
    <xf numFmtId="0" fontId="20" fillId="4" borderId="6" xfId="2" applyFont="1" applyFill="1" applyBorder="1" applyAlignment="1">
      <alignment horizontal="center" vertical="center" wrapText="1"/>
    </xf>
    <xf numFmtId="0" fontId="20" fillId="4" borderId="15" xfId="2" applyFont="1" applyFill="1" applyBorder="1" applyAlignment="1">
      <alignment horizontal="center" vertical="center" wrapText="1"/>
    </xf>
    <xf numFmtId="0" fontId="20" fillId="4" borderId="4" xfId="2" applyFont="1" applyFill="1" applyBorder="1" applyAlignment="1">
      <alignment horizontal="center" vertical="center" wrapText="1"/>
    </xf>
    <xf numFmtId="0" fontId="18" fillId="5" borderId="19" xfId="2" applyFont="1" applyFill="1" applyBorder="1" applyAlignment="1">
      <alignment horizontal="right"/>
    </xf>
    <xf numFmtId="0" fontId="18" fillId="5" borderId="20" xfId="2" applyFont="1" applyFill="1" applyBorder="1" applyAlignment="1">
      <alignment horizontal="right"/>
    </xf>
    <xf numFmtId="0" fontId="18" fillId="5" borderId="21" xfId="2" applyFont="1" applyFill="1" applyBorder="1" applyAlignment="1">
      <alignment horizontal="right"/>
    </xf>
    <xf numFmtId="0" fontId="20" fillId="4" borderId="6" xfId="2" applyFont="1" applyFill="1" applyBorder="1" applyAlignment="1">
      <alignment horizontal="center"/>
    </xf>
    <xf numFmtId="0" fontId="20" fillId="4" borderId="15" xfId="2" applyFont="1" applyFill="1" applyBorder="1" applyAlignment="1">
      <alignment horizontal="center"/>
    </xf>
    <xf numFmtId="0" fontId="20" fillId="4" borderId="4" xfId="2" applyFont="1" applyFill="1" applyBorder="1" applyAlignment="1">
      <alignment horizontal="center"/>
    </xf>
  </cellXfs>
  <cellStyles count="539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" xfId="538" builtinId="3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2 5" xfId="504" xr:uid="{15473069-7ADC-4CBD-B141-EC7144A46F03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3 3" xfId="505" xr:uid="{4F682030-2274-481A-9084-388F852D1D1A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0 2" xfId="506" xr:uid="{AD1A314A-59D1-4E26-B3C4-A364654A29D2}"/>
    <cellStyle name="Normal 11" xfId="62" xr:uid="{00000000-0005-0000-0000-00003B000000}"/>
    <cellStyle name="Normal 11 2" xfId="507" xr:uid="{221838DD-4A9C-4C7B-9576-6AD7D7F834F9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2 9" xfId="508" xr:uid="{E26B1A95-BFF4-41EC-86C8-2F43618B3D61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3 9" xfId="509" xr:uid="{F017D4E1-E897-449B-8B0E-B59B420CFCA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4 9" xfId="510" xr:uid="{D6CED2C0-7248-4C0A-ACA0-CEF0BD010C57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5 9" xfId="511" xr:uid="{3ACBF9A9-A076-4E61-988D-2B455367256A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6 9" xfId="512" xr:uid="{1A27D33D-2106-415F-9265-A86EA8A4BC67}"/>
    <cellStyle name="Normal 166" xfId="513" xr:uid="{BFF369F2-4434-477E-AEAB-EB89D289A1BD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7 4" xfId="514" xr:uid="{BC3501C7-D88A-4EBD-B203-3EC315CA7E3A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8 4" xfId="515" xr:uid="{27EA768F-44E4-48B9-A855-01D7FE980BAA}"/>
    <cellStyle name="Normal 19" xfId="109" xr:uid="{00000000-0005-0000-0000-00006A000000}"/>
    <cellStyle name="Normal 19 2" xfId="516" xr:uid="{9F87099C-2017-4D31-892C-8DC86683DA43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0 2" xfId="517" xr:uid="{CE14AD28-B108-45A7-BCDE-10E1AB4F8F0D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1 4" xfId="518" xr:uid="{62218D76-58C6-4821-AB62-920F4A9A0F11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2 4" xfId="519" xr:uid="{15B50B43-9159-4F82-A4CB-E8057A6D3F2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3 4" xfId="520" xr:uid="{8DEA1B8D-36CE-4F9B-B465-307D3A92F007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4 4" xfId="521" xr:uid="{456C6E1A-B6D6-4D90-946D-C2B23FAA5186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5 4" xfId="522" xr:uid="{50F08CCD-BAF3-4E37-A168-C48AA0C32086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6 4" xfId="523" xr:uid="{35D67DA0-54F3-4DB2-B173-C6836C8D497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7 8" xfId="524" xr:uid="{AB9AD0D6-B584-4F50-BD25-EB0B9D3C833E}"/>
    <cellStyle name="Normal 28" xfId="186" xr:uid="{00000000-0005-0000-0000-0000B7000000}"/>
    <cellStyle name="Normal 28 2" xfId="525" xr:uid="{06F06128-0128-4857-B50D-3C83B7B8492B}"/>
    <cellStyle name="Normal 29" xfId="187" xr:uid="{00000000-0005-0000-0000-0000B8000000}"/>
    <cellStyle name="Normal 29 2" xfId="526" xr:uid="{B2BAC855-7EE7-4725-A351-EF2079473E06}"/>
    <cellStyle name="Normal 3" xfId="188" xr:uid="{00000000-0005-0000-0000-0000B9000000}"/>
    <cellStyle name="Normal 3 10" xfId="527" xr:uid="{117DF5ED-EBF3-4B55-8C88-9BE7338D4578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0 8" xfId="528" xr:uid="{A5616887-E956-4B47-BC30-9167A22F8CB4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 9" xfId="529" xr:uid="{ED2DAA00-791F-4831-9B8B-4C0AFECA5DE4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 9" xfId="530" xr:uid="{F81146F4-91F3-4C93-89DB-08002A7ED2BF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15" xfId="531" xr:uid="{98C4C368-0545-4286-92ED-1F7CD2772C44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15" xfId="532" xr:uid="{B5E095AB-B94A-4937-A8DB-62FD1FDD3D3C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 9" xfId="533" xr:uid="{CAF4C67D-172B-4507-AFDC-66AA96AD991D}"/>
    <cellStyle name="Normal 9_ירידות ערך שנזקפו" xfId="422" xr:uid="{00000000-0005-0000-0000-0000A4010000}"/>
    <cellStyle name="Normal_תרומה לרווח 3.10" xfId="2" xr:uid="{00000000-0005-0000-0000-0000A5010000}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APKey" xfId="534" xr:uid="{0B19D31B-FA8E-4422-88ED-E28A56002BAF}"/>
    <cellStyle name="SAPOutput 3" xfId="535" xr:uid="{C02A60CB-ADB4-4ED1-8CC1-CF2577D2E41D}"/>
    <cellStyle name="SAPText" xfId="536" xr:uid="{9E07EB54-5B5B-47D3-89EA-8E8443F26F94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היפר-קישור 2" xfId="537" xr:uid="{1C2A1FB9-74DA-48AB-A4B7-63B2EDA8420B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filesrv.daviddom.corp\Documents\DSI\Finance\Controller\&#1491;&#1493;&#1495;&#1493;&#1514;%20&#1499;&#1505;&#1508;&#1497;&#1497;&#1501;\2024\03-2024\&#1492;&#1512;&#1499;&#1489;&#1492;%20&#1491;&#1493;&#1495;&#1493;&#1514;%20&#1499;&#1505;&#1508;&#1497;&#1497;&#1501;%20&#1495;&#1489;&#1512;&#1514;%20&#1489;&#1497;&#1496;&#1493;&#1495;%2003-2024.xlsx" TargetMode="External"/><Relationship Id="rId1" Type="http://schemas.openxmlformats.org/officeDocument/2006/relationships/externalLinkPath" Target="file:///\\dsfilesrv.daviddom.corp\Documents\DSI\Finance\Controller\&#1491;&#1493;&#1495;&#1493;&#1514;%20&#1499;&#1505;&#1508;&#1497;&#1497;&#1501;\2024\03-2024\&#1492;&#1512;&#1499;&#1489;&#1492;%20&#1491;&#1493;&#1495;&#1493;&#1514;%20&#1499;&#1505;&#1508;&#1497;&#1497;&#1501;%20&#1495;&#1489;&#1512;&#1514;%20&#1489;&#1497;&#1496;&#1493;&#1495;%2003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filesrv.daviddom.corp\Documents\DSI\Finance\Controller\&#1491;&#1493;&#1495;&#1493;&#1514;%20&#1499;&#1505;&#1508;&#1497;&#1497;&#1501;\2024\06-2024\&#1492;&#1512;&#1499;&#1489;&#1492;%20&#1491;&#1493;&#1495;&#1493;&#1514;%20&#1499;&#1505;&#1508;&#1497;&#1497;&#1501;%20&#1495;&#1489;&#1512;&#1514;%20&#1489;&#1497;&#1496;&#1493;&#1495;%2006-2024.xlsx" TargetMode="External"/><Relationship Id="rId1" Type="http://schemas.openxmlformats.org/officeDocument/2006/relationships/externalLinkPath" Target="file:///\\dsfilesrv.daviddom.corp\Documents\DSI\Finance\Controller\&#1491;&#1493;&#1495;&#1493;&#1514;%20&#1499;&#1505;&#1508;&#1497;&#1497;&#1501;\2024\06-2024\&#1492;&#1512;&#1499;&#1489;&#1492;%20&#1491;&#1493;&#1495;&#1493;&#1514;%20&#1499;&#1505;&#1508;&#1497;&#1497;&#1501;%20&#1495;&#1489;&#1512;&#1514;%20&#1489;&#1497;&#1496;&#1493;&#1495;%2006-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filesrv.daviddom.corp\Documents\DSI\Finance\Controller\&#1491;&#1493;&#1495;&#1493;&#1514;%20&#1499;&#1505;&#1508;&#1497;&#1497;&#1501;\2024\09-2024\&#1492;&#1512;&#1499;&#1489;&#1492;%20&#1491;&#1493;&#1495;&#1493;&#1514;%20&#1499;&#1505;&#1508;&#1497;&#1497;&#1501;%20&#1495;&#1489;&#1512;&#1514;%20&#1489;&#1497;&#1496;&#1493;&#1495;%2009-2024.xlsx" TargetMode="External"/><Relationship Id="rId1" Type="http://schemas.openxmlformats.org/officeDocument/2006/relationships/externalLinkPath" Target="file:///\\dsfilesrv.daviddom.corp\Documents\DSI\Finance\Controller\&#1491;&#1493;&#1495;&#1493;&#1514;%20&#1499;&#1505;&#1508;&#1497;&#1497;&#1501;\2024\09-2024\&#1492;&#1512;&#1499;&#1489;&#1492;%20&#1491;&#1493;&#1495;&#1493;&#1514;%20&#1499;&#1505;&#1508;&#1497;&#1497;&#1501;%20&#1495;&#1489;&#1512;&#1514;%20&#1489;&#1497;&#1496;&#1493;&#1495;%2009-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filesrv.daviddom.corp\Documents\DSI\Finance\Controller\&#1491;&#1493;&#1495;&#1493;&#1514;%20&#1499;&#1505;&#1508;&#1497;&#1497;&#1501;\2022\12-2022\&#1492;&#1512;&#1499;&#1489;&#1492;%20&#1491;&#1493;&#1495;&#1493;&#1514;%20&#1499;&#1505;&#1508;&#1497;&#1497;&#1501;%20&#1495;&#1489;&#1512;&#1514;%20&#1489;&#1497;&#1496;&#1493;&#1495;%2012-2022.xlsx" TargetMode="External"/><Relationship Id="rId1" Type="http://schemas.openxmlformats.org/officeDocument/2006/relationships/externalLinkPath" Target="file:///\\dsfilesrv.daviddom.corp\Documents\DSI\Finance\Controller\&#1491;&#1493;&#1495;&#1493;&#1514;%20&#1499;&#1505;&#1508;&#1497;&#1497;&#1501;\2022\12-2022\&#1492;&#1512;&#1499;&#1489;&#1492;%20&#1491;&#1493;&#1495;&#1493;&#1514;%20&#1499;&#1505;&#1508;&#1497;&#1497;&#1501;%20&#1495;&#1489;&#1512;&#1514;%20&#1489;&#1497;&#1496;&#1493;&#1495;%2012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שליטה"/>
      <sheetName val="הרכבה לבדיקת פקודות נוספות"/>
      <sheetName val="מאזן בוחן לאחר פקודות נוספות"/>
      <sheetName val="דוחות ראשיים---&gt;"/>
      <sheetName val="מאזנים"/>
      <sheetName val="מאזן רבעוני"/>
      <sheetName val="רווח והפסד"/>
      <sheetName val="רווח והפסד רבעוני"/>
      <sheetName val="שינויים"/>
      <sheetName val="מגזרים מאזני"/>
      <sheetName val="מגזרים תוצאתי"/>
      <sheetName val="תזרים מאוחד"/>
      <sheetName val="נייר עבודה תזרים מאוחד"/>
      <sheetName val="תזרים סולו"/>
      <sheetName val="מאזנים IFRS17"/>
      <sheetName val="רווח והפסד IFRS17"/>
      <sheetName val="שינויים IFRS17"/>
      <sheetName val="מגזרים מאזני IFRS17"/>
      <sheetName val="מגזרים תוצאתי IFRS17"/>
      <sheetName val="Sheet1"/>
      <sheetName val="WM"/>
      <sheetName val="ברנע"/>
      <sheetName val="פעילות PC"/>
      <sheetName val="&lt;------בקרות"/>
      <sheetName val="ניתוח תוצאות סוכנות"/>
      <sheetName val="שערים"/>
      <sheetName val="ביאורים"/>
      <sheetName val="אינדקס"/>
      <sheetName val="בקרה סולו"/>
      <sheetName val="בקרת פ.נ."/>
      <sheetName val="השקעות+מזומנים"/>
      <sheetName val="Sheet2"/>
      <sheetName val="PIVOT IBI"/>
      <sheetName val="PIVOT2 IBI"/>
      <sheetName val="אחזקות 31.3.24"/>
      <sheetName val="בדיקות"/>
      <sheetName val="תרגום"/>
      <sheetName val="Detail1"/>
      <sheetName val="דיווח לממונה"/>
      <sheetName val="ניתוח קרן הון הפרשי תרגום"/>
      <sheetName val="מאזן בוחן"/>
      <sheetName val="הרכבה חברת ביטוח"/>
      <sheetName val="הרכבה סוכנות"/>
      <sheetName val="הרכבה  פיננסים"/>
      <sheetName val="הרכבה מאוחדת דולרית"/>
      <sheetName val="הרכבה מאוחדת דולרית IFRS17"/>
      <sheetName val="הרכבה מאוחדת שקלית"/>
      <sheetName val="הרכבה מאוחדת שקלית IFRS17"/>
      <sheetName val="פ.נ.IFRS17"/>
      <sheetName val="מצגת"/>
      <sheetName val="Exp. allocation summary"/>
      <sheetName val="מאזן הצמדה"/>
      <sheetName val="פ.נ."/>
      <sheetName val="בקרה מאוחד"/>
      <sheetName val="עסקה פנימית"/>
      <sheetName val="עקיפות על תלויות ומשולמות"/>
      <sheetName val="מסים נדחים"/>
      <sheetName val="מסים שוטפים"/>
      <sheetName val="ביאורים---&gt;"/>
      <sheetName val="מדדים"/>
      <sheetName val="DAC"/>
      <sheetName val="רכוש קבוע"/>
      <sheetName val="חכירות"/>
      <sheetName val="חייבים"/>
      <sheetName val="הלוואות לחברות קשורות"/>
      <sheetName val="פרמיות לגביה"/>
      <sheetName val="מכשירים פיננסיים"/>
      <sheetName val="מזומן"/>
      <sheetName val="הון"/>
      <sheetName val="התחייבויות ביטוח"/>
      <sheetName val="מגזר בריאות"/>
      <sheetName val="מגזר בריאות - ניע"/>
      <sheetName val="מסים - חלק 1"/>
      <sheetName val="מסים - חלק 2"/>
      <sheetName val="זכאים"/>
      <sheetName val="התחייבויות פיננסיות מצדדים קשור"/>
      <sheetName val="הכנסות מימון"/>
      <sheetName val="פירוט מימון"/>
      <sheetName val="הוצאות הנהלה וכלליות"/>
      <sheetName val="עמלות, שיווק ורכישה"/>
      <sheetName val="הוצאות אחרות"/>
      <sheetName val="הוצאות מימון"/>
      <sheetName val="רווח למניה"/>
      <sheetName val="ניהול סיכונים"/>
      <sheetName val="צדדים קשורים"/>
      <sheetName val="שכר בכירים"/>
      <sheetName val="התקשרויות"/>
      <sheetName val="טופס 9"/>
      <sheetName val="חשיפה למבטחי משנה"/>
      <sheetName val="הרכבה דוחות כספיים חברת ביטוח 0"/>
    </sheetNames>
    <sheetDataSet>
      <sheetData sheetId="0">
        <row r="2">
          <cell r="E2">
            <v>3.681</v>
          </cell>
        </row>
      </sheetData>
      <sheetData sheetId="1" refreshError="1"/>
      <sheetData sheetId="2" refreshError="1"/>
      <sheetData sheetId="3" refreshError="1"/>
      <sheetData sheetId="4" refreshError="1">
        <row r="14">
          <cell r="AK14">
            <v>20529</v>
          </cell>
        </row>
        <row r="23">
          <cell r="AK23">
            <v>40966</v>
          </cell>
        </row>
        <row r="24">
          <cell r="AK24">
            <v>920</v>
          </cell>
        </row>
        <row r="25">
          <cell r="AK25">
            <v>37922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E2" t="str">
            <v>פאונד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P1">
            <v>3.665</v>
          </cell>
        </row>
      </sheetData>
      <sheetData sheetId="37" refreshError="1"/>
      <sheetData sheetId="38" refreshError="1">
        <row r="20">
          <cell r="AP20">
            <v>7400.15283</v>
          </cell>
        </row>
        <row r="25">
          <cell r="AM25">
            <v>16511.688999999998</v>
          </cell>
        </row>
        <row r="36">
          <cell r="AM36">
            <v>16511.688999999998</v>
          </cell>
        </row>
        <row r="135">
          <cell r="AM135">
            <v>24454.311000000002</v>
          </cell>
        </row>
        <row r="183">
          <cell r="AM183">
            <v>920</v>
          </cell>
        </row>
      </sheetData>
      <sheetData sheetId="39" refreshError="1"/>
      <sheetData sheetId="40" refreshError="1"/>
      <sheetData sheetId="41">
        <row r="1">
          <cell r="B1" t="str">
            <v>סה"כ הרכבה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2">
          <cell r="E2" t="str">
            <v>דו"ח כספי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>
        <row r="47">
          <cell r="M47">
            <v>-385</v>
          </cell>
        </row>
        <row r="51">
          <cell r="M51">
            <v>-81</v>
          </cell>
        </row>
        <row r="53">
          <cell r="M53">
            <v>539</v>
          </cell>
        </row>
        <row r="54">
          <cell r="M54">
            <v>0</v>
          </cell>
        </row>
        <row r="55">
          <cell r="M55">
            <v>-584</v>
          </cell>
        </row>
        <row r="56">
          <cell r="M56">
            <v>18</v>
          </cell>
        </row>
        <row r="90">
          <cell r="M90">
            <v>-86</v>
          </cell>
        </row>
        <row r="96">
          <cell r="H96">
            <v>42524.591849999997</v>
          </cell>
          <cell r="I96">
            <v>147262.88855</v>
          </cell>
        </row>
        <row r="97">
          <cell r="H97">
            <v>-194892.05575</v>
          </cell>
        </row>
        <row r="103">
          <cell r="H103">
            <v>-618382.1827</v>
          </cell>
        </row>
        <row r="104">
          <cell r="H104">
            <v>-428594.7023</v>
          </cell>
        </row>
      </sheetData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שליטה"/>
      <sheetName val="הרכבה לבדיקת פקודות נוספות"/>
      <sheetName val="מאזן בוחן לאחר פקודות נוספות"/>
      <sheetName val="דוחות ראשיים---&gt;"/>
      <sheetName val="מאזנים"/>
      <sheetName val="מאזן רבעוני"/>
      <sheetName val="רווח והפסד"/>
      <sheetName val="רווח והפסד רבעוני"/>
      <sheetName val="שינויים"/>
      <sheetName val="מגזרים מאזני"/>
      <sheetName val="מגזרים תוצאתי"/>
      <sheetName val="תזרים מאוחד"/>
      <sheetName val="נייר עבודה תזרים מאוחד"/>
      <sheetName val="תזרים סולו"/>
      <sheetName val="מאזנים IFRS17"/>
      <sheetName val="רווח והפסד IFRS17"/>
      <sheetName val="שינויים IFRS17"/>
      <sheetName val="מגזרים מאזני IFRS17"/>
      <sheetName val="מגזרים תוצאתי IFRS17"/>
      <sheetName val="Sheet1"/>
      <sheetName val="WM"/>
      <sheetName val="ברנע"/>
      <sheetName val="פעילות PC"/>
      <sheetName val="&lt;------בקרות"/>
      <sheetName val="ניתוח תוצאות סוכנות"/>
      <sheetName val="שערים"/>
      <sheetName val="ביאורים"/>
      <sheetName val="אינדקס"/>
      <sheetName val="בקרה סולו"/>
      <sheetName val="בקרת פ.נ."/>
      <sheetName val="השקעות+מזומנים"/>
      <sheetName val="PIVOT IBI"/>
      <sheetName val="PIVOT2 IBI"/>
      <sheetName val="אחזקות 30.6.24"/>
      <sheetName val="בדיקות"/>
      <sheetName val="תרגום"/>
      <sheetName val="Detail1"/>
      <sheetName val="דיווח לממונה"/>
      <sheetName val="ניתוח קרן הון הפרשי תרגום"/>
      <sheetName val="מאזן בוחן"/>
      <sheetName val="הרכבה חברת ביטוח"/>
      <sheetName val="הרכבה סוכנות"/>
      <sheetName val="הרכבה  פיננסים"/>
      <sheetName val="הרכבה מאוחדת דולרית"/>
      <sheetName val="הרכבה מאוחדת דולרית IFRS17"/>
      <sheetName val="הרכבה מאוחדת שקלית"/>
      <sheetName val="הרכבה מאוחדת שקלית IFRS17"/>
      <sheetName val="פ.נ.IFRS17"/>
      <sheetName val="מצגת"/>
      <sheetName val="Exp. allocation summary"/>
      <sheetName val="מאזן הצמדה"/>
      <sheetName val="פ.נ."/>
      <sheetName val="בקרה מאוחד"/>
      <sheetName val="זכאים וחייבים"/>
      <sheetName val="עסקה פנימית"/>
      <sheetName val="עקיפות על תלויות ומשולמות"/>
      <sheetName val="מסים נדחים"/>
      <sheetName val="מסים שוטפים"/>
      <sheetName val="ביאורים---&gt;"/>
      <sheetName val="מדדים"/>
      <sheetName val="DAC"/>
      <sheetName val="רכוש קבוע"/>
      <sheetName val="חכירות"/>
      <sheetName val="חייבים"/>
      <sheetName val="הלוואות לחברות קשורות"/>
      <sheetName val="פרמיות לגביה"/>
      <sheetName val="מכשירים פיננסיים"/>
      <sheetName val="מזומן"/>
      <sheetName val="הון"/>
      <sheetName val="התחייבויות ביטוח"/>
      <sheetName val="מגזר בריאות"/>
      <sheetName val="מגזר בריאות - ניע"/>
      <sheetName val="מסים - חלק 1"/>
      <sheetName val="מסים - חלק 2"/>
      <sheetName val="זכאים"/>
      <sheetName val="התחייבויות פיננסיות מצדדים קשור"/>
      <sheetName val="הכנסות מימון"/>
      <sheetName val="פירוט מימון"/>
      <sheetName val="הוצאות הנהלה וכלליות"/>
      <sheetName val="עמלות, שיווק ורכישה"/>
      <sheetName val="הוצאות אחרות"/>
      <sheetName val="הוצאות מימון"/>
      <sheetName val="רווח למניה"/>
      <sheetName val="ניהול סיכונים"/>
      <sheetName val="צדדים קשורים"/>
      <sheetName val="שכר בכירים"/>
      <sheetName val="התקשרויות"/>
      <sheetName val="טופס 9"/>
      <sheetName val="חשיפה למבטחי משנה"/>
    </sheetNames>
    <sheetDataSet>
      <sheetData sheetId="0"/>
      <sheetData sheetId="1"/>
      <sheetData sheetId="2"/>
      <sheetData sheetId="3"/>
      <sheetData sheetId="4">
        <row r="14">
          <cell r="AK14">
            <v>21768</v>
          </cell>
        </row>
        <row r="23">
          <cell r="AK23">
            <v>42244</v>
          </cell>
        </row>
        <row r="24">
          <cell r="AK24">
            <v>989</v>
          </cell>
        </row>
        <row r="25">
          <cell r="AK25">
            <v>42439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20">
          <cell r="AP20">
            <v>13292.084720000001</v>
          </cell>
        </row>
        <row r="25">
          <cell r="AM25">
            <v>17067.228950000001</v>
          </cell>
        </row>
        <row r="36">
          <cell r="AM36">
            <v>17067.228950000001</v>
          </cell>
        </row>
        <row r="135">
          <cell r="AM135">
            <v>25176.771049999996</v>
          </cell>
        </row>
        <row r="183">
          <cell r="AM183">
            <v>989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47">
          <cell r="M47">
            <v>-824</v>
          </cell>
        </row>
        <row r="51">
          <cell r="M51">
            <v>407</v>
          </cell>
        </row>
        <row r="53">
          <cell r="M53">
            <v>-83</v>
          </cell>
        </row>
        <row r="54">
          <cell r="M54">
            <v>0</v>
          </cell>
        </row>
        <row r="55">
          <cell r="M55">
            <v>-1105</v>
          </cell>
        </row>
        <row r="56">
          <cell r="M56">
            <v>40</v>
          </cell>
        </row>
        <row r="90">
          <cell r="M90">
            <v>-134</v>
          </cell>
        </row>
        <row r="96">
          <cell r="H96">
            <v>-276.6489768579595</v>
          </cell>
          <cell r="I96">
            <v>211116.76467077225</v>
          </cell>
        </row>
        <row r="97">
          <cell r="H97">
            <v>-336523.38688566827</v>
          </cell>
        </row>
        <row r="103">
          <cell r="G103">
            <v>-330187.62348904053</v>
          </cell>
          <cell r="H103">
            <v>-1234652.5054415327</v>
          </cell>
        </row>
        <row r="104">
          <cell r="G104">
            <v>-330187.62348904053</v>
          </cell>
          <cell r="H104">
            <v>-1023812.3897476185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שליטה"/>
      <sheetName val="הרכבה לבדיקת פקודות נוספות"/>
      <sheetName val="מאזן בוחן לאחר פקודות נוספות"/>
      <sheetName val="דוחות ראשיים---&gt;"/>
      <sheetName val="מאזנים"/>
      <sheetName val="מאזן רבעוני"/>
      <sheetName val="רווח והפסד"/>
      <sheetName val="רווח והפסד רבעוני"/>
      <sheetName val="שינויים"/>
      <sheetName val="מגזרים מאזני"/>
      <sheetName val="מגזרים תוצאתי"/>
      <sheetName val="תזרים מאוחד"/>
      <sheetName val="נייר עבודה תזרים מאוחד"/>
      <sheetName val="תזרים סולו"/>
      <sheetName val="מאזנים IFRS17"/>
      <sheetName val="רווח והפסד IFRS17"/>
      <sheetName val="שינויים IFRS17"/>
      <sheetName val="מגזרים מאזני IFRS17"/>
      <sheetName val="מגזרים תוצאתי IFRS17"/>
      <sheetName val="Sheet1"/>
      <sheetName val="WM"/>
      <sheetName val="ברנע"/>
      <sheetName val="פעילות PC"/>
      <sheetName val="&lt;------בקרות"/>
      <sheetName val="ניתוח תוצאות סוכנות"/>
      <sheetName val="שערים"/>
      <sheetName val="ביאורים"/>
      <sheetName val="אינדקס"/>
      <sheetName val="בקרה סולו"/>
      <sheetName val="בקרת פ.נ."/>
      <sheetName val="השקעות+מזומנים"/>
      <sheetName val="PIVOT IBI"/>
      <sheetName val="PIVOT2 IBI"/>
      <sheetName val="אחזקות 30.9.24"/>
      <sheetName val="בדיקות"/>
      <sheetName val="תרגום"/>
      <sheetName val="Detail1"/>
      <sheetName val="דיווח לממונה"/>
      <sheetName val="ניתוח קרן הון הפרשי תרגום"/>
      <sheetName val="מאזן בוחן"/>
      <sheetName val="הרכבה חברת ביטוח"/>
      <sheetName val="הרכבה סוכנות"/>
      <sheetName val="הרכבה  פיננסים"/>
      <sheetName val="הרכבה מאוחדת דולרית"/>
      <sheetName val="הרכבה מאוחדת שקלית"/>
      <sheetName val="הרכבה מאוחדת דולרית IFRS17"/>
      <sheetName val="הרכבה מאוחדת שקלית IFRS17"/>
      <sheetName val="פ.נ.IFRS17"/>
      <sheetName val="מצגת"/>
      <sheetName val="Exp. allocation summary"/>
      <sheetName val="מאזן הצמדה"/>
      <sheetName val="פ.נ."/>
      <sheetName val="בקרה מאוחד"/>
      <sheetName val="זכאים וחייבים"/>
      <sheetName val="עסקה פנימית"/>
      <sheetName val="עקיפות על תלויות ומשולמות"/>
      <sheetName val="מסים נדחים"/>
      <sheetName val="מסים שוטפים"/>
      <sheetName val="ביאורים---&gt;"/>
      <sheetName val="מדדים"/>
      <sheetName val="DAC"/>
      <sheetName val="רכוש קבוע"/>
      <sheetName val="חכירות"/>
      <sheetName val="חייבים"/>
      <sheetName val="הלוואות לחברות קשורות"/>
      <sheetName val="פרמיות לגביה"/>
      <sheetName val="מכשירים פיננסיים"/>
      <sheetName val="מזומן"/>
      <sheetName val="הון"/>
      <sheetName val="התחייבויות ביטוח"/>
      <sheetName val="מגזר בריאות"/>
      <sheetName val="מגזר בריאות - ניע"/>
      <sheetName val="מסים - חלק 1"/>
      <sheetName val="מסים - חלק 2"/>
      <sheetName val="זכאים"/>
      <sheetName val="התחייבויות פיננסיות מצדדים קשור"/>
      <sheetName val="הכנסות מימון"/>
      <sheetName val="פירוט מימון"/>
      <sheetName val="הוצאות הנהלה וכלליות"/>
      <sheetName val="עמלות, שיווק ורכישה"/>
      <sheetName val="הוצאות אחרות"/>
      <sheetName val="הוצאות מימון"/>
      <sheetName val="רווח למניה"/>
      <sheetName val="ניהול סיכונים"/>
      <sheetName val="צדדים קשורים"/>
      <sheetName val="שכר בכירים"/>
      <sheetName val="התקשרויות"/>
      <sheetName val="טופס 9"/>
      <sheetName val="חשיפה למבטחי משנה"/>
    </sheetNames>
    <sheetDataSet>
      <sheetData sheetId="0"/>
      <sheetData sheetId="1"/>
      <sheetData sheetId="2"/>
      <sheetData sheetId="3"/>
      <sheetData sheetId="4">
        <row r="14">
          <cell r="AK14">
            <v>22583</v>
          </cell>
        </row>
        <row r="23">
          <cell r="AK23">
            <v>35282</v>
          </cell>
        </row>
        <row r="24">
          <cell r="AK24">
            <v>1020</v>
          </cell>
        </row>
        <row r="25">
          <cell r="AK25">
            <v>58280</v>
          </cell>
        </row>
      </sheetData>
      <sheetData sheetId="5"/>
      <sheetData sheetId="6">
        <row r="14">
          <cell r="AS14">
            <v>2569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20">
          <cell r="AP20">
            <v>21073.451880000001</v>
          </cell>
        </row>
        <row r="25">
          <cell r="AM25">
            <v>9295.0653399999992</v>
          </cell>
        </row>
        <row r="36">
          <cell r="AM36">
            <v>9295.0653399999992</v>
          </cell>
        </row>
        <row r="135">
          <cell r="AM135">
            <v>25986.931489372637</v>
          </cell>
        </row>
        <row r="183">
          <cell r="AM183">
            <v>1020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47">
          <cell r="M47">
            <v>-1322</v>
          </cell>
        </row>
        <row r="51">
          <cell r="M51">
            <v>347</v>
          </cell>
        </row>
        <row r="53">
          <cell r="M53">
            <v>11</v>
          </cell>
        </row>
        <row r="54">
          <cell r="M54">
            <v>0</v>
          </cell>
        </row>
        <row r="55">
          <cell r="M55">
            <v>-1662</v>
          </cell>
        </row>
        <row r="56">
          <cell r="M56">
            <v>57</v>
          </cell>
        </row>
        <row r="90">
          <cell r="M90">
            <v>-179</v>
          </cell>
        </row>
        <row r="96">
          <cell r="H96">
            <v>-121857.24824664912</v>
          </cell>
          <cell r="I96">
            <v>-629107.4833245551</v>
          </cell>
        </row>
        <row r="97">
          <cell r="H97">
            <v>-525085.93768050196</v>
          </cell>
        </row>
        <row r="98">
          <cell r="M98">
            <v>-3319949.3807549244</v>
          </cell>
        </row>
        <row r="103">
          <cell r="H103">
            <v>-1956082.2633423845</v>
          </cell>
        </row>
        <row r="104">
          <cell r="G104">
            <v>-612902.3858413354</v>
          </cell>
          <cell r="H104">
            <v>-2707046.9949135887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שליטה"/>
      <sheetName val="הרכבה לבדיקת פקודות נוספות"/>
      <sheetName val="מאזן בוחן לאחר פקודות נוספות"/>
      <sheetName val="דוחות ראשיים---&gt;"/>
      <sheetName val="מאזנים"/>
      <sheetName val="מאזן רבעוני"/>
      <sheetName val="רווח והפסד"/>
      <sheetName val="רווח והפסד רבעוני"/>
      <sheetName val="תזרים מאוחד"/>
      <sheetName val="שינויים"/>
      <sheetName val="מגזרים מאזני"/>
      <sheetName val="מגזרים תוצאתי"/>
      <sheetName val="נייר עבודה תזרים מאוחד"/>
      <sheetName val="תזרים סולו"/>
      <sheetName val="WM"/>
      <sheetName val="ברנע"/>
      <sheetName val="פעילות PC"/>
      <sheetName val="&lt;------בקרות"/>
      <sheetName val="ניתוח תוצאות סוכנות"/>
      <sheetName val="שערים"/>
      <sheetName val="ביאורים"/>
      <sheetName val="אינדקס"/>
      <sheetName val="בקרה סולו"/>
      <sheetName val="בקרת פ.נ."/>
      <sheetName val="השקעות"/>
      <sheetName val="דיווח לממונה"/>
      <sheetName val="בדיקות"/>
      <sheetName val="תרגום"/>
      <sheetName val="ניתוח קרן הון הפרשי תרגום"/>
      <sheetName val="מאזן בוחן"/>
      <sheetName val="הרכבה חברת ביטוח"/>
      <sheetName val="הרכבה סוכנות"/>
      <sheetName val="הרכבה  פיננסים"/>
      <sheetName val="הרכבה מאוחדת דולרית"/>
      <sheetName val="הרכבה מאוחדת שקלית"/>
      <sheetName val="מצגת"/>
      <sheetName val="Exp. allocation summary"/>
      <sheetName val="מאזן הצמדה"/>
      <sheetName val="פ.נ."/>
      <sheetName val="בקרה מאוחד"/>
      <sheetName val="עסקה פנימית"/>
      <sheetName val="עקיפות על תלויות ומשולמות"/>
      <sheetName val="מסים נדחים"/>
      <sheetName val="מסים שוטפים"/>
      <sheetName val="ביאורים---&gt;"/>
      <sheetName val="מדדים"/>
      <sheetName val="DAC"/>
      <sheetName val="רכוש קבוע"/>
      <sheetName val="חכירות"/>
      <sheetName val="חייבים"/>
      <sheetName val="הלוואות לחברות קשורות"/>
      <sheetName val="פרמיות לגביה"/>
      <sheetName val="מכשירים פיננסיים"/>
      <sheetName val="מזומן"/>
      <sheetName val="הון"/>
      <sheetName val="התחייבויות ביטוח"/>
      <sheetName val="מגזר בריאות"/>
      <sheetName val="מגזר בריאות - ניע"/>
      <sheetName val="מסים - חלק 1"/>
      <sheetName val="מסים - חלק 2"/>
      <sheetName val="זכאים"/>
      <sheetName val="התחייבויות פיננסיות מצדדים קשור"/>
      <sheetName val="הכנסות מימון"/>
      <sheetName val="עמלות, שיווק ורכישה"/>
      <sheetName val="הוצאות הנהלה וכלליות"/>
      <sheetName val="הוצאות אחרות"/>
      <sheetName val="הוצאות מימון"/>
      <sheetName val="רווח למניה"/>
      <sheetName val="ניהול סיכונים"/>
      <sheetName val="צדדים קשורים"/>
      <sheetName val="שכר בכירים"/>
      <sheetName val="התקשרויות"/>
      <sheetName val="טופס 9"/>
      <sheetName val="פירוט מימון"/>
      <sheetName val="הרכבה דוחות כספיים חברת ביטוח 1"/>
    </sheetNames>
    <sheetDataSet>
      <sheetData sheetId="0">
        <row r="2">
          <cell r="E2">
            <v>3.5190000000000001</v>
          </cell>
        </row>
      </sheetData>
      <sheetData sheetId="1">
        <row r="2">
          <cell r="E2" t="str">
            <v>מטבע מקומי - זכות</v>
          </cell>
        </row>
      </sheetData>
      <sheetData sheetId="2"/>
      <sheetData sheetId="3"/>
      <sheetData sheetId="4">
        <row r="7">
          <cell r="BX7">
            <v>1049</v>
          </cell>
        </row>
      </sheetData>
      <sheetData sheetId="5">
        <row r="19">
          <cell r="Z19">
            <v>209</v>
          </cell>
        </row>
      </sheetData>
      <sheetData sheetId="6">
        <row r="10">
          <cell r="U10">
            <v>645890</v>
          </cell>
        </row>
      </sheetData>
      <sheetData sheetId="7">
        <row r="23">
          <cell r="R23">
            <v>7944</v>
          </cell>
        </row>
      </sheetData>
      <sheetData sheetId="8"/>
      <sheetData sheetId="9">
        <row r="8">
          <cell r="AQ8">
            <v>-384</v>
          </cell>
        </row>
      </sheetData>
      <sheetData sheetId="10">
        <row r="11">
          <cell r="CY11">
            <v>1049</v>
          </cell>
        </row>
      </sheetData>
      <sheetData sheetId="11">
        <row r="10">
          <cell r="G10">
            <v>52420</v>
          </cell>
        </row>
      </sheetData>
      <sheetData sheetId="12">
        <row r="7">
          <cell r="E7">
            <v>-6142</v>
          </cell>
        </row>
      </sheetData>
      <sheetData sheetId="13"/>
      <sheetData sheetId="14">
        <row r="217">
          <cell r="I217">
            <v>135619.25026645185</v>
          </cell>
        </row>
      </sheetData>
      <sheetData sheetId="15">
        <row r="7">
          <cell r="E7" t="str">
            <v>עלות רכב</v>
          </cell>
        </row>
      </sheetData>
      <sheetData sheetId="16">
        <row r="7">
          <cell r="E7" t="str">
            <v>סוכנות פאספורטכארד</v>
          </cell>
        </row>
      </sheetData>
      <sheetData sheetId="17"/>
      <sheetData sheetId="18">
        <row r="2">
          <cell r="E2" t="str">
            <v>Q2/2020</v>
          </cell>
        </row>
      </sheetData>
      <sheetData sheetId="19">
        <row r="2">
          <cell r="E2" t="str">
            <v>פאונד</v>
          </cell>
        </row>
      </sheetData>
      <sheetData sheetId="20">
        <row r="7">
          <cell r="E7" t="str">
            <v>באור 4</v>
          </cell>
        </row>
      </sheetData>
      <sheetData sheetId="21">
        <row r="2">
          <cell r="E2" t="str">
            <v>מאזן</v>
          </cell>
        </row>
      </sheetData>
      <sheetData sheetId="22">
        <row r="7">
          <cell r="E7" t="str">
            <v>מזומנים בדולר ארה"ב</v>
          </cell>
        </row>
      </sheetData>
      <sheetData sheetId="23">
        <row r="7">
          <cell r="E7">
            <v>-9560999.1312000006</v>
          </cell>
        </row>
      </sheetData>
      <sheetData sheetId="24"/>
      <sheetData sheetId="25">
        <row r="7">
          <cell r="E7" t="str">
            <v>נכסים מיוחסים להתחייבויות ביטוח בריאות ארוך טווח</v>
          </cell>
        </row>
      </sheetData>
      <sheetData sheetId="26"/>
      <sheetData sheetId="27"/>
      <sheetData sheetId="28">
        <row r="2">
          <cell r="E2">
            <v>3.415570652173912</v>
          </cell>
        </row>
      </sheetData>
      <sheetData sheetId="29"/>
      <sheetData sheetId="30">
        <row r="1">
          <cell r="B1" t="str">
            <v>סה"כ הרכבה</v>
          </cell>
        </row>
      </sheetData>
      <sheetData sheetId="31">
        <row r="7">
          <cell r="E7">
            <v>2833.2651321398125</v>
          </cell>
        </row>
      </sheetData>
      <sheetData sheetId="32">
        <row r="7">
          <cell r="E7">
            <v>43239.050866723497</v>
          </cell>
        </row>
      </sheetData>
      <sheetData sheetId="33">
        <row r="1">
          <cell r="BJ1">
            <v>52420185.100000001</v>
          </cell>
        </row>
      </sheetData>
      <sheetData sheetId="34">
        <row r="2">
          <cell r="E2" t="str">
            <v>חיובי = נכס</v>
          </cell>
        </row>
      </sheetData>
      <sheetData sheetId="35">
        <row r="7">
          <cell r="E7">
            <v>-0.437</v>
          </cell>
        </row>
      </sheetData>
      <sheetData sheetId="36">
        <row r="2">
          <cell r="E2" t="str">
            <v>IPMI</v>
          </cell>
        </row>
      </sheetData>
      <sheetData sheetId="37">
        <row r="7">
          <cell r="E7">
            <v>-4761322.4327598438</v>
          </cell>
        </row>
      </sheetData>
      <sheetData sheetId="38">
        <row r="2">
          <cell r="E2" t="str">
            <v>דו"ח כספי</v>
          </cell>
        </row>
      </sheetData>
      <sheetData sheetId="39"/>
      <sheetData sheetId="40">
        <row r="55">
          <cell r="D55">
            <v>76441491.311250001</v>
          </cell>
        </row>
      </sheetData>
      <sheetData sheetId="41">
        <row r="24">
          <cell r="Q24">
            <v>-61518.585794682214</v>
          </cell>
        </row>
      </sheetData>
      <sheetData sheetId="42">
        <row r="2">
          <cell r="E2" t="str">
            <v>מסים נדחים בגין עקיפות בריאות זמן ארוך</v>
          </cell>
        </row>
      </sheetData>
      <sheetData sheetId="43">
        <row r="7">
          <cell r="E7">
            <v>0</v>
          </cell>
        </row>
      </sheetData>
      <sheetData sheetId="44"/>
      <sheetData sheetId="45"/>
      <sheetData sheetId="46">
        <row r="11">
          <cell r="S11">
            <v>28279</v>
          </cell>
        </row>
      </sheetData>
      <sheetData sheetId="47">
        <row r="15">
          <cell r="AG15">
            <v>0</v>
          </cell>
        </row>
      </sheetData>
      <sheetData sheetId="48"/>
      <sheetData sheetId="49">
        <row r="9">
          <cell r="I9">
            <v>1267</v>
          </cell>
        </row>
      </sheetData>
      <sheetData sheetId="50"/>
      <sheetData sheetId="51">
        <row r="12">
          <cell r="X12">
            <v>43245</v>
          </cell>
        </row>
      </sheetData>
      <sheetData sheetId="52">
        <row r="11">
          <cell r="X11">
            <v>34384</v>
          </cell>
        </row>
      </sheetData>
      <sheetData sheetId="53">
        <row r="9">
          <cell r="X9">
            <v>71313</v>
          </cell>
        </row>
      </sheetData>
      <sheetData sheetId="54"/>
      <sheetData sheetId="55">
        <row r="15">
          <cell r="T15">
            <v>0</v>
          </cell>
        </row>
      </sheetData>
      <sheetData sheetId="56">
        <row r="13">
          <cell r="AR13">
            <v>118523</v>
          </cell>
        </row>
      </sheetData>
      <sheetData sheetId="57">
        <row r="7">
          <cell r="E7">
            <v>1264562.2717989995</v>
          </cell>
        </row>
      </sheetData>
      <sheetData sheetId="58"/>
      <sheetData sheetId="59"/>
      <sheetData sheetId="60">
        <row r="12">
          <cell r="Y12">
            <v>4195</v>
          </cell>
        </row>
      </sheetData>
      <sheetData sheetId="61"/>
      <sheetData sheetId="62">
        <row r="40">
          <cell r="AB40">
            <v>2645</v>
          </cell>
        </row>
        <row r="79">
          <cell r="M79">
            <v>248</v>
          </cell>
        </row>
        <row r="86">
          <cell r="F86" t="str">
            <v>Sum of שקל חדש לדו"ח (מטבע הצגה)</v>
          </cell>
        </row>
      </sheetData>
      <sheetData sheetId="63">
        <row r="10">
          <cell r="AF10">
            <v>177972</v>
          </cell>
        </row>
      </sheetData>
      <sheetData sheetId="64">
        <row r="10">
          <cell r="AG10">
            <v>22494</v>
          </cell>
        </row>
      </sheetData>
      <sheetData sheetId="65">
        <row r="13">
          <cell r="AA13">
            <v>-1055</v>
          </cell>
        </row>
      </sheetData>
      <sheetData sheetId="66">
        <row r="12">
          <cell r="AC12">
            <v>270</v>
          </cell>
        </row>
      </sheetData>
      <sheetData sheetId="67">
        <row r="35">
          <cell r="I35">
            <v>89.72027972027972</v>
          </cell>
        </row>
      </sheetData>
      <sheetData sheetId="68">
        <row r="10">
          <cell r="F10">
            <v>-278.4735</v>
          </cell>
        </row>
      </sheetData>
      <sheetData sheetId="69">
        <row r="10">
          <cell r="AM10">
            <v>11404</v>
          </cell>
        </row>
      </sheetData>
      <sheetData sheetId="70"/>
      <sheetData sheetId="71"/>
      <sheetData sheetId="72">
        <row r="7">
          <cell r="E7" t="str">
            <v>מבטח שולט</v>
          </cell>
        </row>
      </sheetData>
      <sheetData sheetId="73">
        <row r="7">
          <cell r="E7">
            <v>180</v>
          </cell>
        </row>
      </sheetData>
      <sheetData sheetId="7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8"/>
  <sheetViews>
    <sheetView showGridLines="0" rightToLeft="1" tabSelected="1" zoomScale="60" zoomScaleNormal="60" workbookViewId="0">
      <pane xSplit="1" ySplit="7" topLeftCell="B8" activePane="bottomRight" state="frozen"/>
      <selection pane="topRight" activeCell="C1" sqref="C1"/>
      <selection pane="bottomLeft" activeCell="A9" sqref="A9"/>
      <selection pane="bottomRight" activeCell="A59" sqref="A59:XFD1048576"/>
    </sheetView>
  </sheetViews>
  <sheetFormatPr defaultColWidth="0" defaultRowHeight="15" zeroHeight="1" x14ac:dyDescent="0.25"/>
  <cols>
    <col min="1" max="1" width="23.28515625" style="26" customWidth="1"/>
    <col min="2" max="19" width="10.28515625" style="26" customWidth="1"/>
    <col min="20" max="25" width="10.28515625" style="26" hidden="1" customWidth="1"/>
    <col min="26" max="26" width="9.140625" style="26" customWidth="1"/>
    <col min="27" max="27" width="10" style="26" bestFit="1" customWidth="1"/>
    <col min="28" max="28" width="9.28515625" style="26" bestFit="1" customWidth="1"/>
    <col min="29" max="29" width="10" style="26" bestFit="1" customWidth="1"/>
    <col min="30" max="30" width="11.42578125" style="26" bestFit="1" customWidth="1"/>
    <col min="31" max="31" width="12.28515625" style="26" bestFit="1" customWidth="1"/>
    <col min="32" max="32" width="10.5703125" style="26" bestFit="1" customWidth="1"/>
    <col min="33" max="16384" width="9.140625" style="26" hidden="1"/>
  </cols>
  <sheetData>
    <row r="1" spans="1:31" ht="18.75" x14ac:dyDescent="0.3">
      <c r="A1" s="24" t="s">
        <v>32</v>
      </c>
    </row>
    <row r="2" spans="1:31" ht="18.75" x14ac:dyDescent="0.3">
      <c r="A2" s="25" t="s">
        <v>36</v>
      </c>
    </row>
    <row r="3" spans="1:31" ht="18.75" x14ac:dyDescent="0.3">
      <c r="A3" s="24" t="s">
        <v>33</v>
      </c>
      <c r="B3" s="113" t="s">
        <v>34</v>
      </c>
      <c r="C3" s="114"/>
      <c r="D3" s="114"/>
      <c r="E3" s="114"/>
      <c r="F3" s="114"/>
      <c r="G3" s="115"/>
    </row>
    <row r="4" spans="1:31" x14ac:dyDescent="0.25">
      <c r="A4" s="23"/>
    </row>
    <row r="5" spans="1:31" x14ac:dyDescent="0.25">
      <c r="A5" s="48" t="s">
        <v>29</v>
      </c>
      <c r="B5" s="116" t="s">
        <v>25</v>
      </c>
      <c r="C5" s="117"/>
      <c r="D5" s="117"/>
      <c r="E5" s="117"/>
      <c r="F5" s="117"/>
      <c r="G5" s="118"/>
      <c r="H5" s="116" t="s">
        <v>28</v>
      </c>
      <c r="I5" s="117"/>
      <c r="J5" s="117"/>
      <c r="K5" s="117"/>
      <c r="L5" s="117"/>
      <c r="M5" s="118"/>
      <c r="N5" s="116" t="s">
        <v>27</v>
      </c>
      <c r="O5" s="117"/>
      <c r="P5" s="117"/>
      <c r="Q5" s="117"/>
      <c r="R5" s="117"/>
      <c r="S5" s="118"/>
      <c r="T5" s="116" t="s">
        <v>26</v>
      </c>
      <c r="U5" s="117"/>
      <c r="V5" s="117"/>
      <c r="W5" s="117"/>
      <c r="X5" s="117"/>
      <c r="Y5" s="118"/>
    </row>
    <row r="6" spans="1:31" ht="27.75" customHeight="1" x14ac:dyDescent="0.25">
      <c r="A6" s="107">
        <v>2024</v>
      </c>
      <c r="B6" s="110" t="s">
        <v>21</v>
      </c>
      <c r="C6" s="111"/>
      <c r="D6" s="111" t="s">
        <v>20</v>
      </c>
      <c r="E6" s="111"/>
      <c r="F6" s="111" t="s">
        <v>19</v>
      </c>
      <c r="G6" s="112"/>
      <c r="H6" s="110" t="s">
        <v>21</v>
      </c>
      <c r="I6" s="111"/>
      <c r="J6" s="111" t="s">
        <v>20</v>
      </c>
      <c r="K6" s="111"/>
      <c r="L6" s="111" t="s">
        <v>19</v>
      </c>
      <c r="M6" s="112"/>
      <c r="N6" s="110" t="s">
        <v>21</v>
      </c>
      <c r="O6" s="111"/>
      <c r="P6" s="111" t="s">
        <v>20</v>
      </c>
      <c r="Q6" s="111"/>
      <c r="R6" s="111" t="s">
        <v>19</v>
      </c>
      <c r="S6" s="112"/>
      <c r="T6" s="110" t="s">
        <v>21</v>
      </c>
      <c r="U6" s="111"/>
      <c r="V6" s="111" t="s">
        <v>20</v>
      </c>
      <c r="W6" s="111"/>
      <c r="X6" s="111" t="s">
        <v>19</v>
      </c>
      <c r="Y6" s="112"/>
    </row>
    <row r="7" spans="1:31" ht="21" customHeight="1" x14ac:dyDescent="0.25">
      <c r="A7" s="108"/>
      <c r="B7" s="50" t="s">
        <v>18</v>
      </c>
      <c r="C7" s="51" t="s">
        <v>17</v>
      </c>
      <c r="D7" s="51" t="s">
        <v>18</v>
      </c>
      <c r="E7" s="51" t="s">
        <v>17</v>
      </c>
      <c r="F7" s="51" t="s">
        <v>18</v>
      </c>
      <c r="G7" s="52" t="s">
        <v>17</v>
      </c>
      <c r="H7" s="50" t="s">
        <v>18</v>
      </c>
      <c r="I7" s="51" t="s">
        <v>17</v>
      </c>
      <c r="J7" s="51" t="s">
        <v>18</v>
      </c>
      <c r="K7" s="51" t="s">
        <v>17</v>
      </c>
      <c r="L7" s="51"/>
      <c r="M7" s="52" t="s">
        <v>17</v>
      </c>
      <c r="N7" s="50" t="s">
        <v>18</v>
      </c>
      <c r="O7" s="51" t="s">
        <v>17</v>
      </c>
      <c r="P7" s="51" t="s">
        <v>18</v>
      </c>
      <c r="Q7" s="51" t="s">
        <v>17</v>
      </c>
      <c r="R7" s="51" t="s">
        <v>18</v>
      </c>
      <c r="S7" s="52" t="s">
        <v>17</v>
      </c>
      <c r="T7" s="50" t="s">
        <v>18</v>
      </c>
      <c r="U7" s="51" t="s">
        <v>17</v>
      </c>
      <c r="V7" s="51" t="s">
        <v>18</v>
      </c>
      <c r="W7" s="51" t="s">
        <v>17</v>
      </c>
      <c r="X7" s="51" t="s">
        <v>18</v>
      </c>
      <c r="Y7" s="52" t="s">
        <v>17</v>
      </c>
    </row>
    <row r="8" spans="1:31" x14ac:dyDescent="0.25">
      <c r="A8" s="45" t="s">
        <v>16</v>
      </c>
      <c r="B8" s="53">
        <f>-'[1]הכנסות מימון'!$M$53-'[1]הכנסות מימון'!$M$47</f>
        <v>-154</v>
      </c>
      <c r="C8" s="20">
        <f>+B8/B$20</f>
        <v>-0.31237322515212984</v>
      </c>
      <c r="D8" s="53">
        <f>B8</f>
        <v>-154</v>
      </c>
      <c r="E8" s="20">
        <f>+D8/D$20</f>
        <v>-0.50789459552381899</v>
      </c>
      <c r="F8" s="53">
        <f>[1]מאזנים!$AK$25</f>
        <v>37922</v>
      </c>
      <c r="G8" s="20">
        <f>+F8/F$20</f>
        <v>0.37794632089857183</v>
      </c>
      <c r="H8" s="61">
        <f>-'[2]הכנסות מימון'!$M$53-'[2]הכנסות מימון'!$M$47-B8</f>
        <v>1061</v>
      </c>
      <c r="I8" s="62">
        <f>+H8/H$20</f>
        <v>0.98973880597014929</v>
      </c>
      <c r="J8" s="61">
        <f>H8</f>
        <v>1061</v>
      </c>
      <c r="K8" s="62">
        <f>+J8/J$20</f>
        <v>1.0095653080558662</v>
      </c>
      <c r="L8" s="61">
        <f>[2]מאזנים!$AK$25</f>
        <v>42439</v>
      </c>
      <c r="M8" s="62">
        <f>+L8/L$20</f>
        <v>0.39500186150409533</v>
      </c>
      <c r="N8" s="21">
        <f>-'[3]הכנסות מימון'!$M$53-'[3]הכנסות מימון'!$M$47-B8-H8</f>
        <v>404</v>
      </c>
      <c r="O8" s="20">
        <f>+N8/N$20</f>
        <v>0.40239043824701193</v>
      </c>
      <c r="P8" s="53">
        <f>N8</f>
        <v>404</v>
      </c>
      <c r="Q8" s="20">
        <f>+P8/P$20</f>
        <v>0.20551378767941073</v>
      </c>
      <c r="R8" s="21">
        <f>[3]מאזנים!$AK$25</f>
        <v>58280</v>
      </c>
      <c r="S8" s="19">
        <f>+R8/R$20</f>
        <v>0.49741817095549012</v>
      </c>
      <c r="T8" s="61"/>
      <c r="U8" s="62" t="e">
        <f>+T8/T$20</f>
        <v>#DIV/0!</v>
      </c>
      <c r="V8" s="61"/>
      <c r="W8" s="62" t="e">
        <f>+V8/V$20</f>
        <v>#DIV/0!</v>
      </c>
      <c r="X8" s="61"/>
      <c r="Y8" s="62" t="e">
        <f>+X8/X$20</f>
        <v>#DIV/0!</v>
      </c>
      <c r="AB8" s="26" t="s">
        <v>38</v>
      </c>
      <c r="AE8" s="88">
        <f>'[3]דיווח לממונה'!$AP$20</f>
        <v>21073.451880000001</v>
      </c>
    </row>
    <row r="9" spans="1:31" x14ac:dyDescent="0.25">
      <c r="A9" s="46" t="s">
        <v>15</v>
      </c>
      <c r="B9" s="14">
        <f>-'[1]הכנסות מימון'!$H$97/1000</f>
        <v>194.89205575</v>
      </c>
      <c r="C9" s="13">
        <f t="shared" ref="C9:E19" si="0">+B9/B$20</f>
        <v>0.39531857150101418</v>
      </c>
      <c r="D9" s="14">
        <f>B9-'[1]הכנסות מימון'!$H$96/1000</f>
        <v>152.36746389999999</v>
      </c>
      <c r="E9" s="13">
        <f t="shared" si="0"/>
        <v>0.5025104639511726</v>
      </c>
      <c r="F9" s="14">
        <f>'[1]דיווח לממונה'!$AM$25</f>
        <v>16511.688999999998</v>
      </c>
      <c r="G9" s="13">
        <f t="shared" ref="G9" si="1">+F9/F$20</f>
        <v>0.16456231499845519</v>
      </c>
      <c r="H9" s="63">
        <f>-'[2]הכנסות מימון'!$H$97/1000-B9</f>
        <v>141.63133113566829</v>
      </c>
      <c r="I9" s="64">
        <f t="shared" ref="I9:I19" si="2">+H9/H$20</f>
        <v>0.1321187790444667</v>
      </c>
      <c r="J9" s="86">
        <f>H9-'[2]הכנסות מימון'!$H$96/1000-D9+B9</f>
        <v>184.43257196252625</v>
      </c>
      <c r="K9" s="64">
        <f t="shared" ref="K9:K19" si="3">+J9/J$20</f>
        <v>0.17549173075295335</v>
      </c>
      <c r="L9" s="63">
        <f>'[2]דיווח לממונה'!$AM$25</f>
        <v>17067.228950000001</v>
      </c>
      <c r="M9" s="64">
        <f t="shared" ref="M9:M19" si="4">+L9/L$20</f>
        <v>0.15885358293000745</v>
      </c>
      <c r="N9" s="14">
        <f>-'[3]הכנסות מימון'!$H$97/1000-B9-H9</f>
        <v>188.56255079483367</v>
      </c>
      <c r="O9" s="13">
        <f t="shared" ref="O9:O19" si="5">+N9/N$20</f>
        <v>0.1878113055725435</v>
      </c>
      <c r="P9" s="14">
        <f>N9-'[3]הכנסות מימון'!$H$96/1000-J9+H9-D9+B9</f>
        <v>310.14315006462482</v>
      </c>
      <c r="Q9" s="13">
        <f t="shared" ref="Q9:Q19" si="6">+P9/P$20</f>
        <v>0.15776904329852703</v>
      </c>
      <c r="R9" s="14">
        <f>'[3]דיווח לממונה'!$AM$25</f>
        <v>9295.0653399999992</v>
      </c>
      <c r="S9" s="13">
        <f t="shared" ref="S9:S19" si="7">+R9/R$20</f>
        <v>7.9333122860922617E-2</v>
      </c>
      <c r="T9" s="63"/>
      <c r="U9" s="64" t="e">
        <f t="shared" ref="U9:U19" si="8">+T9/T$20</f>
        <v>#DIV/0!</v>
      </c>
      <c r="V9" s="86"/>
      <c r="W9" s="64" t="e">
        <f t="shared" ref="W9:W19" si="9">+V9/V$20</f>
        <v>#DIV/0!</v>
      </c>
      <c r="X9" s="63"/>
      <c r="Y9" s="64" t="e">
        <f t="shared" ref="Y9:Y19" si="10">+X9/X$20</f>
        <v>#DIV/0!</v>
      </c>
      <c r="AB9" s="26" t="s">
        <v>37</v>
      </c>
    </row>
    <row r="10" spans="1:31" x14ac:dyDescent="0.25">
      <c r="A10" s="46" t="s">
        <v>14</v>
      </c>
      <c r="B10" s="14">
        <v>0</v>
      </c>
      <c r="C10" s="13">
        <f t="shared" si="0"/>
        <v>0</v>
      </c>
      <c r="D10" s="14">
        <v>0</v>
      </c>
      <c r="E10" s="13">
        <f t="shared" si="0"/>
        <v>0</v>
      </c>
      <c r="F10" s="14">
        <v>0</v>
      </c>
      <c r="G10" s="13">
        <f t="shared" ref="G10" si="11">+F10/F$20</f>
        <v>0</v>
      </c>
      <c r="H10" s="63"/>
      <c r="I10" s="64">
        <f t="shared" si="2"/>
        <v>0</v>
      </c>
      <c r="J10" s="63"/>
      <c r="K10" s="64">
        <f t="shared" si="3"/>
        <v>0</v>
      </c>
      <c r="L10" s="63"/>
      <c r="M10" s="64">
        <f t="shared" si="4"/>
        <v>0</v>
      </c>
      <c r="N10" s="14"/>
      <c r="O10" s="13">
        <f t="shared" si="5"/>
        <v>0</v>
      </c>
      <c r="P10" s="14"/>
      <c r="Q10" s="13">
        <f t="shared" si="6"/>
        <v>0</v>
      </c>
      <c r="R10" s="14"/>
      <c r="S10" s="13">
        <f t="shared" si="7"/>
        <v>0</v>
      </c>
      <c r="T10" s="63"/>
      <c r="U10" s="64" t="e">
        <f t="shared" si="8"/>
        <v>#DIV/0!</v>
      </c>
      <c r="V10" s="63"/>
      <c r="W10" s="64" t="e">
        <f t="shared" si="9"/>
        <v>#DIV/0!</v>
      </c>
      <c r="X10" s="63"/>
      <c r="Y10" s="64" t="e">
        <f t="shared" si="10"/>
        <v>#DIV/0!</v>
      </c>
    </row>
    <row r="11" spans="1:31" x14ac:dyDescent="0.25">
      <c r="A11" s="46" t="s">
        <v>13</v>
      </c>
      <c r="B11" s="14">
        <f>-('[1]הכנסות מימון'!$M$54+'[1]הכנסות מימון'!$M$55+'[1]הכנסות מימון'!$M$56)-B9-B14</f>
        <v>285.10794425</v>
      </c>
      <c r="C11" s="13">
        <f t="shared" si="0"/>
        <v>0.57831226014198789</v>
      </c>
      <c r="D11" s="14">
        <f>B11-'[1]הכנסות מימון'!$I$96/1000</f>
        <v>137.84505569999999</v>
      </c>
      <c r="E11" s="13">
        <f t="shared" si="0"/>
        <v>0.45461531694616747</v>
      </c>
      <c r="F11" s="14">
        <f>[1]מאזנים!$AK$23-F9</f>
        <v>24454.311000000002</v>
      </c>
      <c r="G11" s="13">
        <f t="shared" ref="G11" si="12">+F11/F$20</f>
        <v>0.24372176764304296</v>
      </c>
      <c r="H11" s="86">
        <f>-('[2]הכנסות מימון'!$M$54+'[2]הכנסות מימון'!$M$55+'[2]הכנסות מימון'!$M$56)-H9-H14-B9-B11-B14</f>
        <v>309.36866886433171</v>
      </c>
      <c r="I11" s="64">
        <f t="shared" si="2"/>
        <v>0.2885901761794139</v>
      </c>
      <c r="J11" s="86">
        <f>H11-'[2]הכנסות מימון'!$I$96/1000-D11+B11</f>
        <v>245.51479274355947</v>
      </c>
      <c r="K11" s="64">
        <f t="shared" si="3"/>
        <v>0.23361283446599787</v>
      </c>
      <c r="L11" s="63">
        <f>[2]מאזנים!$AK$23-L9</f>
        <v>25176.771049999999</v>
      </c>
      <c r="M11" s="64">
        <f t="shared" si="4"/>
        <v>0.23433331208116157</v>
      </c>
      <c r="N11" s="14">
        <f>-('[3]הכנסות מימון'!$M$54+'[3]הכנסות מימון'!$M$55+'[3]הכנסות מימון'!$M$56)-H9-H14-B9-B11-B14-H11-N9-N14</f>
        <v>306.43744920516633</v>
      </c>
      <c r="O11" s="13">
        <f t="shared" si="5"/>
        <v>0.30521658287367165</v>
      </c>
      <c r="P11" s="14">
        <f>N11-'[3]הכנסות מימון'!$I$96/1000-J11+H11-D11+B11</f>
        <v>1146.6616972004938</v>
      </c>
      <c r="Q11" s="13">
        <f t="shared" si="6"/>
        <v>0.58330393212518572</v>
      </c>
      <c r="R11" s="14">
        <f>[3]מאזנים!$AK$23-R9</f>
        <v>25986.934659999999</v>
      </c>
      <c r="S11" s="13">
        <f t="shared" si="7"/>
        <v>0.22179776093543294</v>
      </c>
      <c r="T11" s="86"/>
      <c r="U11" s="64" t="e">
        <f t="shared" si="8"/>
        <v>#DIV/0!</v>
      </c>
      <c r="V11" s="86"/>
      <c r="W11" s="64" t="e">
        <f t="shared" si="9"/>
        <v>#DIV/0!</v>
      </c>
      <c r="X11" s="63"/>
      <c r="Y11" s="64" t="e">
        <f t="shared" si="10"/>
        <v>#DIV/0!</v>
      </c>
      <c r="AB11" s="26" t="s">
        <v>37</v>
      </c>
    </row>
    <row r="12" spans="1:31" x14ac:dyDescent="0.25">
      <c r="A12" s="46" t="s">
        <v>12</v>
      </c>
      <c r="B12" s="14">
        <v>0</v>
      </c>
      <c r="C12" s="13">
        <f t="shared" si="0"/>
        <v>0</v>
      </c>
      <c r="D12" s="14">
        <v>0</v>
      </c>
      <c r="E12" s="13">
        <f t="shared" si="0"/>
        <v>0</v>
      </c>
      <c r="F12" s="14">
        <v>0</v>
      </c>
      <c r="G12" s="13">
        <f t="shared" ref="G12" si="13">+F12/F$20</f>
        <v>0</v>
      </c>
      <c r="H12" s="63"/>
      <c r="I12" s="64">
        <f t="shared" si="2"/>
        <v>0</v>
      </c>
      <c r="J12" s="63"/>
      <c r="K12" s="64">
        <f t="shared" si="3"/>
        <v>0</v>
      </c>
      <c r="L12" s="63"/>
      <c r="M12" s="64">
        <f t="shared" si="4"/>
        <v>0</v>
      </c>
      <c r="N12" s="14"/>
      <c r="O12" s="13">
        <f t="shared" si="5"/>
        <v>0</v>
      </c>
      <c r="P12" s="14"/>
      <c r="Q12" s="13">
        <f t="shared" si="6"/>
        <v>0</v>
      </c>
      <c r="R12" s="14"/>
      <c r="S12" s="13">
        <f t="shared" si="7"/>
        <v>0</v>
      </c>
      <c r="T12" s="63"/>
      <c r="U12" s="64" t="e">
        <f t="shared" si="8"/>
        <v>#DIV/0!</v>
      </c>
      <c r="V12" s="63"/>
      <c r="W12" s="64" t="e">
        <f t="shared" si="9"/>
        <v>#DIV/0!</v>
      </c>
      <c r="X12" s="63"/>
      <c r="Y12" s="64" t="e">
        <f t="shared" si="10"/>
        <v>#DIV/0!</v>
      </c>
    </row>
    <row r="13" spans="1:31" x14ac:dyDescent="0.25">
      <c r="A13" s="46" t="s">
        <v>11</v>
      </c>
      <c r="B13" s="14">
        <v>0</v>
      </c>
      <c r="C13" s="13">
        <f t="shared" si="0"/>
        <v>0</v>
      </c>
      <c r="D13" s="14">
        <v>0</v>
      </c>
      <c r="E13" s="13">
        <f t="shared" si="0"/>
        <v>0</v>
      </c>
      <c r="F13" s="14">
        <v>0</v>
      </c>
      <c r="G13" s="13">
        <f t="shared" ref="G13" si="14">+F13/F$20</f>
        <v>0</v>
      </c>
      <c r="H13" s="63"/>
      <c r="I13" s="64">
        <f t="shared" si="2"/>
        <v>0</v>
      </c>
      <c r="J13" s="63"/>
      <c r="K13" s="64">
        <f t="shared" si="3"/>
        <v>0</v>
      </c>
      <c r="L13" s="63"/>
      <c r="M13" s="64">
        <f t="shared" si="4"/>
        <v>0</v>
      </c>
      <c r="N13" s="14"/>
      <c r="O13" s="13">
        <f t="shared" si="5"/>
        <v>0</v>
      </c>
      <c r="P13" s="14"/>
      <c r="Q13" s="13">
        <f t="shared" si="6"/>
        <v>0</v>
      </c>
      <c r="R13" s="14"/>
      <c r="S13" s="13">
        <f t="shared" si="7"/>
        <v>0</v>
      </c>
      <c r="T13" s="63"/>
      <c r="U13" s="64" t="e">
        <f t="shared" si="8"/>
        <v>#DIV/0!</v>
      </c>
      <c r="V13" s="63"/>
      <c r="W13" s="64" t="e">
        <f t="shared" si="9"/>
        <v>#DIV/0!</v>
      </c>
      <c r="X13" s="63"/>
      <c r="Y13" s="64" t="e">
        <f t="shared" si="10"/>
        <v>#DIV/0!</v>
      </c>
    </row>
    <row r="14" spans="1:31" x14ac:dyDescent="0.25">
      <c r="A14" s="46" t="s">
        <v>10</v>
      </c>
      <c r="B14" s="14">
        <f>-'[1]הכנסות מימון'!$M$90</f>
        <v>86</v>
      </c>
      <c r="C14" s="13">
        <f t="shared" si="0"/>
        <v>0.17444219066937119</v>
      </c>
      <c r="D14" s="14">
        <f>-'[1]הכנסות מימון'!$M$90</f>
        <v>86</v>
      </c>
      <c r="E14" s="13">
        <f t="shared" si="0"/>
        <v>0.28362944944836643</v>
      </c>
      <c r="F14" s="14">
        <f>[1]מאזנים!$AK$24</f>
        <v>920</v>
      </c>
      <c r="G14" s="13">
        <f t="shared" ref="G14" si="15">+F14/F$20</f>
        <v>9.1691001325532959E-3</v>
      </c>
      <c r="H14" s="86">
        <f>-'[2]הכנסות מימון'!$M$90-B14</f>
        <v>48</v>
      </c>
      <c r="I14" s="64">
        <f t="shared" si="2"/>
        <v>4.4776119402985072E-2</v>
      </c>
      <c r="J14" s="86">
        <f>H14</f>
        <v>48</v>
      </c>
      <c r="K14" s="64">
        <f t="shared" si="3"/>
        <v>4.5673077084525518E-2</v>
      </c>
      <c r="L14" s="63">
        <f>[2]מאזנים!$AK$24</f>
        <v>989</v>
      </c>
      <c r="M14" s="64">
        <f t="shared" si="4"/>
        <v>9.2051377513030531E-3</v>
      </c>
      <c r="N14" s="14">
        <f>-'[3]הכנסות מימון'!$M$90-B14-H14</f>
        <v>45</v>
      </c>
      <c r="O14" s="13">
        <f t="shared" si="5"/>
        <v>4.4820717131474105E-2</v>
      </c>
      <c r="P14" s="14">
        <f>N14</f>
        <v>45</v>
      </c>
      <c r="Q14" s="13">
        <f t="shared" si="6"/>
        <v>2.2891387241518523E-2</v>
      </c>
      <c r="R14" s="14">
        <f>[3]מאזנים!$AK$24</f>
        <v>1020</v>
      </c>
      <c r="S14" s="13">
        <f t="shared" si="7"/>
        <v>8.7056714889258736E-3</v>
      </c>
      <c r="T14" s="86"/>
      <c r="U14" s="64" t="e">
        <f t="shared" si="8"/>
        <v>#DIV/0!</v>
      </c>
      <c r="V14" s="86"/>
      <c r="W14" s="64" t="e">
        <f t="shared" si="9"/>
        <v>#DIV/0!</v>
      </c>
      <c r="X14" s="63"/>
      <c r="Y14" s="64" t="e">
        <f t="shared" si="10"/>
        <v>#DIV/0!</v>
      </c>
      <c r="AB14" s="26" t="s">
        <v>37</v>
      </c>
    </row>
    <row r="15" spans="1:31" x14ac:dyDescent="0.25">
      <c r="A15" s="46" t="s">
        <v>9</v>
      </c>
      <c r="B15" s="14">
        <v>0</v>
      </c>
      <c r="C15" s="13">
        <f t="shared" si="0"/>
        <v>0</v>
      </c>
      <c r="D15" s="14">
        <v>0</v>
      </c>
      <c r="E15" s="13">
        <f t="shared" si="0"/>
        <v>0</v>
      </c>
      <c r="F15" s="14">
        <v>0</v>
      </c>
      <c r="G15" s="13">
        <f t="shared" ref="G15" si="16">+F15/F$20</f>
        <v>0</v>
      </c>
      <c r="H15" s="63"/>
      <c r="I15" s="64">
        <f t="shared" si="2"/>
        <v>0</v>
      </c>
      <c r="J15" s="63"/>
      <c r="K15" s="64">
        <f t="shared" si="3"/>
        <v>0</v>
      </c>
      <c r="L15" s="63"/>
      <c r="M15" s="64">
        <f t="shared" si="4"/>
        <v>0</v>
      </c>
      <c r="N15" s="14"/>
      <c r="O15" s="13">
        <f t="shared" si="5"/>
        <v>0</v>
      </c>
      <c r="P15" s="14"/>
      <c r="Q15" s="13">
        <f t="shared" si="6"/>
        <v>0</v>
      </c>
      <c r="R15" s="14"/>
      <c r="S15" s="13">
        <f t="shared" si="7"/>
        <v>0</v>
      </c>
      <c r="T15" s="63"/>
      <c r="U15" s="64" t="e">
        <f t="shared" si="8"/>
        <v>#DIV/0!</v>
      </c>
      <c r="V15" s="63"/>
      <c r="W15" s="64" t="e">
        <f t="shared" si="9"/>
        <v>#DIV/0!</v>
      </c>
      <c r="X15" s="63"/>
      <c r="Y15" s="64" t="e">
        <f t="shared" si="10"/>
        <v>#DIV/0!</v>
      </c>
    </row>
    <row r="16" spans="1:31" x14ac:dyDescent="0.25">
      <c r="A16" s="46" t="s">
        <v>8</v>
      </c>
      <c r="B16" s="14">
        <v>0</v>
      </c>
      <c r="C16" s="13">
        <f t="shared" si="0"/>
        <v>0</v>
      </c>
      <c r="D16" s="14">
        <v>0</v>
      </c>
      <c r="E16" s="13">
        <f t="shared" si="0"/>
        <v>0</v>
      </c>
      <c r="F16" s="14">
        <v>0</v>
      </c>
      <c r="G16" s="13">
        <f t="shared" ref="G16" si="17">+F16/F$20</f>
        <v>0</v>
      </c>
      <c r="H16" s="63"/>
      <c r="I16" s="64">
        <f t="shared" si="2"/>
        <v>0</v>
      </c>
      <c r="J16" s="63"/>
      <c r="K16" s="64">
        <f t="shared" si="3"/>
        <v>0</v>
      </c>
      <c r="L16" s="63"/>
      <c r="M16" s="64">
        <f t="shared" si="4"/>
        <v>0</v>
      </c>
      <c r="N16" s="14"/>
      <c r="O16" s="13">
        <f t="shared" si="5"/>
        <v>0</v>
      </c>
      <c r="P16" s="14"/>
      <c r="Q16" s="13">
        <f t="shared" si="6"/>
        <v>0</v>
      </c>
      <c r="R16" s="14"/>
      <c r="S16" s="13">
        <f t="shared" si="7"/>
        <v>0</v>
      </c>
      <c r="T16" s="63"/>
      <c r="U16" s="64" t="e">
        <f t="shared" si="8"/>
        <v>#DIV/0!</v>
      </c>
      <c r="V16" s="63"/>
      <c r="W16" s="64" t="e">
        <f t="shared" si="9"/>
        <v>#DIV/0!</v>
      </c>
      <c r="X16" s="63"/>
      <c r="Y16" s="64" t="e">
        <f t="shared" si="10"/>
        <v>#DIV/0!</v>
      </c>
    </row>
    <row r="17" spans="1:32" x14ac:dyDescent="0.25">
      <c r="A17" s="46" t="s">
        <v>7</v>
      </c>
      <c r="B17" s="14">
        <v>0</v>
      </c>
      <c r="C17" s="13">
        <f t="shared" si="0"/>
        <v>0</v>
      </c>
      <c r="D17" s="14">
        <v>0</v>
      </c>
      <c r="E17" s="13">
        <f t="shared" si="0"/>
        <v>0</v>
      </c>
      <c r="F17" s="14">
        <v>0</v>
      </c>
      <c r="G17" s="13">
        <f t="shared" ref="G17" si="18">+F17/F$20</f>
        <v>0</v>
      </c>
      <c r="H17" s="63"/>
      <c r="I17" s="64">
        <f t="shared" si="2"/>
        <v>0</v>
      </c>
      <c r="J17" s="63"/>
      <c r="K17" s="64">
        <f t="shared" si="3"/>
        <v>0</v>
      </c>
      <c r="L17" s="63"/>
      <c r="M17" s="64">
        <f t="shared" si="4"/>
        <v>0</v>
      </c>
      <c r="N17" s="14"/>
      <c r="O17" s="13">
        <f t="shared" si="5"/>
        <v>0</v>
      </c>
      <c r="P17" s="14"/>
      <c r="Q17" s="13">
        <f t="shared" si="6"/>
        <v>0</v>
      </c>
      <c r="R17" s="14"/>
      <c r="S17" s="13">
        <f t="shared" si="7"/>
        <v>0</v>
      </c>
      <c r="T17" s="63"/>
      <c r="U17" s="64" t="e">
        <f t="shared" si="8"/>
        <v>#DIV/0!</v>
      </c>
      <c r="V17" s="63"/>
      <c r="W17" s="64" t="e">
        <f t="shared" si="9"/>
        <v>#DIV/0!</v>
      </c>
      <c r="X17" s="63"/>
      <c r="Y17" s="64" t="e">
        <f t="shared" si="10"/>
        <v>#DIV/0!</v>
      </c>
    </row>
    <row r="18" spans="1:32" x14ac:dyDescent="0.25">
      <c r="A18" s="46" t="s">
        <v>6</v>
      </c>
      <c r="B18" s="14">
        <v>0</v>
      </c>
      <c r="C18" s="13">
        <f t="shared" si="0"/>
        <v>0</v>
      </c>
      <c r="D18" s="14">
        <v>0</v>
      </c>
      <c r="E18" s="13">
        <f t="shared" si="0"/>
        <v>0</v>
      </c>
      <c r="F18" s="14">
        <v>0</v>
      </c>
      <c r="G18" s="13">
        <f t="shared" ref="G18" si="19">+F18/F$20</f>
        <v>0</v>
      </c>
      <c r="H18" s="63"/>
      <c r="I18" s="64">
        <f t="shared" si="2"/>
        <v>0</v>
      </c>
      <c r="J18" s="63"/>
      <c r="K18" s="64">
        <f t="shared" si="3"/>
        <v>0</v>
      </c>
      <c r="L18" s="63"/>
      <c r="M18" s="64">
        <f t="shared" si="4"/>
        <v>0</v>
      </c>
      <c r="N18" s="14"/>
      <c r="O18" s="13">
        <f t="shared" si="5"/>
        <v>0</v>
      </c>
      <c r="P18" s="14"/>
      <c r="Q18" s="13">
        <f t="shared" si="6"/>
        <v>0</v>
      </c>
      <c r="R18" s="14"/>
      <c r="S18" s="13">
        <f t="shared" si="7"/>
        <v>0</v>
      </c>
      <c r="T18" s="63"/>
      <c r="U18" s="64" t="e">
        <f t="shared" si="8"/>
        <v>#DIV/0!</v>
      </c>
      <c r="V18" s="63"/>
      <c r="W18" s="64" t="e">
        <f t="shared" si="9"/>
        <v>#DIV/0!</v>
      </c>
      <c r="X18" s="63"/>
      <c r="Y18" s="64" t="e">
        <f t="shared" si="10"/>
        <v>#DIV/0!</v>
      </c>
    </row>
    <row r="19" spans="1:32" ht="15.75" thickBot="1" x14ac:dyDescent="0.3">
      <c r="A19" s="46" t="s">
        <v>5</v>
      </c>
      <c r="B19" s="55">
        <f>-'[1]הכנסות מימון'!$M$51</f>
        <v>81</v>
      </c>
      <c r="C19" s="59">
        <f t="shared" si="0"/>
        <v>0.1643002028397566</v>
      </c>
      <c r="D19" s="55">
        <f>+B19</f>
        <v>81</v>
      </c>
      <c r="E19" s="59">
        <f t="shared" si="0"/>
        <v>0.26713936517811254</v>
      </c>
      <c r="F19" s="55">
        <f>+[1]מאזנים!$AK$14</f>
        <v>20529</v>
      </c>
      <c r="G19" s="59">
        <f t="shared" ref="G19" si="20">+F19/F$20</f>
        <v>0.20460049632737673</v>
      </c>
      <c r="H19" s="65">
        <f>-'[2]הכנסות מימון'!$M$51-B19</f>
        <v>-488</v>
      </c>
      <c r="I19" s="66">
        <f t="shared" si="2"/>
        <v>-0.45522388059701491</v>
      </c>
      <c r="J19" s="65">
        <f>H19</f>
        <v>-488</v>
      </c>
      <c r="K19" s="66">
        <f t="shared" si="3"/>
        <v>-0.46434295035934275</v>
      </c>
      <c r="L19" s="65">
        <f>+[2]מאזנים!$AK$14</f>
        <v>21768</v>
      </c>
      <c r="M19" s="66">
        <f t="shared" si="4"/>
        <v>0.2026061057334326</v>
      </c>
      <c r="N19" s="55">
        <f>-'[3]הכנסות מימון'!$M$51-B19-H19</f>
        <v>60</v>
      </c>
      <c r="O19" s="59">
        <f t="shared" si="5"/>
        <v>5.9760956175298807E-2</v>
      </c>
      <c r="P19" s="55">
        <f>N19</f>
        <v>60</v>
      </c>
      <c r="Q19" s="59">
        <f t="shared" si="6"/>
        <v>3.0521849655358028E-2</v>
      </c>
      <c r="R19" s="55">
        <f>+[3]מאזנים!$AK$14</f>
        <v>22583</v>
      </c>
      <c r="S19" s="59">
        <f t="shared" si="7"/>
        <v>0.19274527375922842</v>
      </c>
      <c r="T19" s="65"/>
      <c r="U19" s="66" t="e">
        <f t="shared" si="8"/>
        <v>#DIV/0!</v>
      </c>
      <c r="V19" s="65"/>
      <c r="W19" s="66" t="e">
        <f t="shared" si="9"/>
        <v>#DIV/0!</v>
      </c>
      <c r="X19" s="65"/>
      <c r="Y19" s="66" t="e">
        <f t="shared" si="10"/>
        <v>#DIV/0!</v>
      </c>
      <c r="AB19" s="26" t="s">
        <v>39</v>
      </c>
    </row>
    <row r="20" spans="1:32" ht="15.75" thickBot="1" x14ac:dyDescent="0.3">
      <c r="A20" s="47" t="s">
        <v>0</v>
      </c>
      <c r="B20" s="54">
        <f>SUM(B8:B19)</f>
        <v>493</v>
      </c>
      <c r="C20" s="58">
        <f>+B20/B$20</f>
        <v>1</v>
      </c>
      <c r="D20" s="54">
        <f>SUM(D8:D19)</f>
        <v>303.21251959999995</v>
      </c>
      <c r="E20" s="58">
        <f>+D20/D$20</f>
        <v>1</v>
      </c>
      <c r="F20" s="54">
        <f>SUM(F8:F19)</f>
        <v>100337</v>
      </c>
      <c r="G20" s="58">
        <f>+F20/F$20</f>
        <v>1</v>
      </c>
      <c r="H20" s="67">
        <f>SUM(H8:H19)</f>
        <v>1072</v>
      </c>
      <c r="I20" s="68">
        <f>+H20/H$20</f>
        <v>1</v>
      </c>
      <c r="J20" s="67">
        <f>SUM(J8:J19)</f>
        <v>1050.9473647060856</v>
      </c>
      <c r="K20" s="68">
        <f>+J20/J$20</f>
        <v>1</v>
      </c>
      <c r="L20" s="67">
        <f>SUM(L8:L19)</f>
        <v>107440</v>
      </c>
      <c r="M20" s="68">
        <f>+L20/L$20</f>
        <v>1</v>
      </c>
      <c r="N20" s="54">
        <f>SUM(N8:N19)</f>
        <v>1004</v>
      </c>
      <c r="O20" s="58">
        <f>+N20/N$20</f>
        <v>1</v>
      </c>
      <c r="P20" s="54">
        <f>SUM(P8:P19)</f>
        <v>1965.8048472651185</v>
      </c>
      <c r="Q20" s="58">
        <f>+P20/P$20</f>
        <v>1</v>
      </c>
      <c r="R20" s="54">
        <f>SUM(R8:R19)</f>
        <v>117165</v>
      </c>
      <c r="S20" s="58">
        <f>+R20/R$20</f>
        <v>1</v>
      </c>
      <c r="T20" s="67">
        <f>SUM(T8:T19)</f>
        <v>0</v>
      </c>
      <c r="U20" s="68" t="e">
        <f>+T20/T$20</f>
        <v>#DIV/0!</v>
      </c>
      <c r="V20" s="67">
        <f>SUM(V8:V19)</f>
        <v>0</v>
      </c>
      <c r="W20" s="68" t="e">
        <f>+V20/V$20</f>
        <v>#DIV/0!</v>
      </c>
      <c r="X20" s="67">
        <f>SUM(X8:X19)</f>
        <v>0</v>
      </c>
      <c r="Y20" s="68" t="e">
        <f>+X20/X$20</f>
        <v>#DIV/0!</v>
      </c>
      <c r="AA20" s="89">
        <f>'[3]רווח והפסד'!$AS$14</f>
        <v>2569</v>
      </c>
      <c r="AB20" s="90">
        <f>AA20-N53</f>
        <v>0</v>
      </c>
      <c r="AC20" s="91">
        <f>-'[3]הכנסות מימון'!$M$98/1000</f>
        <v>3319.9493807549243</v>
      </c>
      <c r="AD20" s="92">
        <f>AC20-P53</f>
        <v>-1.535081627935142E-2</v>
      </c>
      <c r="AE20" s="93">
        <f>[3]מאזנים!$AK$14+[3]מאזנים!$AK$23+[3]מאזנים!$AK$24+[3]מאזנים!$AK$25</f>
        <v>117165</v>
      </c>
      <c r="AF20" s="94">
        <f>AE20-R20</f>
        <v>0</v>
      </c>
    </row>
    <row r="21" spans="1:32" x14ac:dyDescent="0.25">
      <c r="A21" s="49"/>
      <c r="B21" s="56"/>
      <c r="C21" s="28"/>
      <c r="D21" s="56"/>
      <c r="E21" s="28"/>
      <c r="F21" s="56"/>
      <c r="G21" s="28"/>
      <c r="H21" s="69"/>
      <c r="I21" s="70"/>
      <c r="J21" s="69"/>
      <c r="K21" s="70"/>
      <c r="L21" s="69"/>
      <c r="M21" s="70"/>
      <c r="N21" s="56"/>
      <c r="O21" s="28"/>
      <c r="P21" s="56"/>
      <c r="Q21" s="28"/>
      <c r="R21" s="56"/>
      <c r="S21" s="28"/>
      <c r="T21" s="69"/>
      <c r="U21" s="70"/>
      <c r="V21" s="69"/>
      <c r="W21" s="70"/>
      <c r="X21" s="69"/>
      <c r="Y21" s="70"/>
    </row>
    <row r="22" spans="1:32" ht="15.75" thickBot="1" x14ac:dyDescent="0.3">
      <c r="A22" s="45" t="s">
        <v>4</v>
      </c>
      <c r="B22" s="53">
        <f>+B20-B23</f>
        <v>-125</v>
      </c>
      <c r="C22" s="30">
        <f>+B22/B$24</f>
        <v>-0.25354969574036512</v>
      </c>
      <c r="D22" s="53">
        <f>+D20-D23</f>
        <v>-125.38218270000004</v>
      </c>
      <c r="E22" s="30">
        <f>+D22/D$24</f>
        <v>-0.4135125517422733</v>
      </c>
      <c r="F22" s="53">
        <f>F20-F23</f>
        <v>51050.847170000001</v>
      </c>
      <c r="G22" s="30">
        <f>+F22/F$24</f>
        <v>0.50879383647109244</v>
      </c>
      <c r="H22" s="61">
        <f>+H20-H23</f>
        <v>455</v>
      </c>
      <c r="I22" s="71">
        <f>+H22/H$24</f>
        <v>0.42444029850746268</v>
      </c>
      <c r="J22" s="61">
        <f>+J20-J23</f>
        <v>455.72967725846718</v>
      </c>
      <c r="K22" s="71">
        <f>+J22/J$24</f>
        <v>0.43363701414858136</v>
      </c>
      <c r="L22" s="61">
        <f>L20-L23</f>
        <v>50914.915280000001</v>
      </c>
      <c r="M22" s="71">
        <f>+L22/L$24</f>
        <v>0.47389161653015638</v>
      </c>
      <c r="N22" s="53">
        <f>+N20-N23</f>
        <v>283</v>
      </c>
      <c r="O22" s="30">
        <f>+N22/N$24</f>
        <v>0.28187250996015939</v>
      </c>
      <c r="P22" s="53">
        <f>+P20-P23</f>
        <v>282.57024209914835</v>
      </c>
      <c r="Q22" s="30">
        <f>+P22/P$24</f>
        <v>0.14374277410713876</v>
      </c>
      <c r="R22" s="53">
        <f>R20-R23</f>
        <v>59789.551290627365</v>
      </c>
      <c r="S22" s="30">
        <f>+R22/R$24</f>
        <v>0.51030214902596649</v>
      </c>
      <c r="T22" s="61"/>
      <c r="U22" s="71" t="e">
        <f>+T22/T$24</f>
        <v>#DIV/0!</v>
      </c>
      <c r="V22" s="61"/>
      <c r="W22" s="71" t="e">
        <f>+V22/V$24</f>
        <v>#DIV/0!</v>
      </c>
      <c r="X22" s="61"/>
      <c r="Y22" s="71" t="e">
        <f>+X22/X$24</f>
        <v>#DIV/0!</v>
      </c>
    </row>
    <row r="23" spans="1:32" ht="15.75" thickBot="1" x14ac:dyDescent="0.3">
      <c r="A23" s="46" t="s">
        <v>3</v>
      </c>
      <c r="B23" s="55">
        <f>+-ROUND('[1]הכנסות מימון'!$H$103/1000,0)</f>
        <v>618</v>
      </c>
      <c r="C23" s="9">
        <f>+B23/B$24</f>
        <v>1.2535496957403651</v>
      </c>
      <c r="D23" s="55">
        <f>-'[1]הכנסות מימון'!$H$104/1000</f>
        <v>428.59470229999999</v>
      </c>
      <c r="E23" s="9">
        <f>+D23/D$24</f>
        <v>1.4135125517422733</v>
      </c>
      <c r="F23" s="55">
        <f>'[1]דיווח לממונה'!$AM$36+'[1]דיווח לממונה'!$AM$135+'[1]דיווח לממונה'!$AM$183+'[1]דיווח לממונה'!$AP$20</f>
        <v>49286.152829999999</v>
      </c>
      <c r="G23" s="9">
        <f>+F23/F$24</f>
        <v>0.49120616352890756</v>
      </c>
      <c r="H23" s="65">
        <f>+-ROUND('[2]הכנסות מימון'!$H$103/1000,0)-B23</f>
        <v>617</v>
      </c>
      <c r="I23" s="72">
        <f>+H23/H$24</f>
        <v>0.57555970149253732</v>
      </c>
      <c r="J23" s="65">
        <f>-'[2]הכנסות מימון'!$H$104/1000-D23</f>
        <v>595.21768744761846</v>
      </c>
      <c r="K23" s="72">
        <f>+J23/J$24</f>
        <v>0.56636298585141864</v>
      </c>
      <c r="L23" s="65">
        <f>'[2]דיווח לממונה'!$AM$36+'[2]דיווח לממונה'!$AM$135+'[2]דיווח לממונה'!$AM$183+'[2]דיווח לממונה'!$AP$20</f>
        <v>56525.084719999999</v>
      </c>
      <c r="M23" s="72">
        <f>+L23/L$24</f>
        <v>0.52610838346984368</v>
      </c>
      <c r="N23" s="55">
        <f>+-ROUND('[3]הכנסות מימון'!$H$103/1000,0)-B23-H23</f>
        <v>721</v>
      </c>
      <c r="O23" s="9">
        <f>+N23/N$24</f>
        <v>0.71812749003984067</v>
      </c>
      <c r="P23" s="55">
        <f>-'[3]הכנסות מימון'!$H$104/1000-D23-J23</f>
        <v>1683.2346051659702</v>
      </c>
      <c r="Q23" s="9">
        <f>+P23/P$24</f>
        <v>0.85625722589286124</v>
      </c>
      <c r="R23" s="55">
        <f>'[3]דיווח לממונה'!$AM$36+'[3]דיווח לממונה'!$AM$135+'[3]דיווח לממונה'!$AM$183+'[3]דיווח לממונה'!$AP$20</f>
        <v>57375.448709372635</v>
      </c>
      <c r="S23" s="9">
        <f>+R23/R$24</f>
        <v>0.48969785097403351</v>
      </c>
      <c r="T23" s="65"/>
      <c r="U23" s="72" t="e">
        <f>+T23/T$24</f>
        <v>#DIV/0!</v>
      </c>
      <c r="V23" s="65"/>
      <c r="W23" s="72" t="e">
        <f>+V23/V$24</f>
        <v>#DIV/0!</v>
      </c>
      <c r="X23" s="65"/>
      <c r="Y23" s="72" t="e">
        <f>+X23/X$24</f>
        <v>#DIV/0!</v>
      </c>
      <c r="AB23" s="95">
        <f>R9+R11+R14+AE8</f>
        <v>57375.451880000001</v>
      </c>
      <c r="AC23" s="96">
        <f>AB23-R23</f>
        <v>3.1706273657619022E-3</v>
      </c>
      <c r="AF23" s="88"/>
    </row>
    <row r="24" spans="1:32" x14ac:dyDescent="0.25">
      <c r="A24" s="47" t="s">
        <v>0</v>
      </c>
      <c r="B24" s="54">
        <f>SUM(B22:B23)</f>
        <v>493</v>
      </c>
      <c r="C24" s="57">
        <f>+B24/B$24</f>
        <v>1</v>
      </c>
      <c r="D24" s="54">
        <f>SUM(D22:D23)</f>
        <v>303.21251959999995</v>
      </c>
      <c r="E24" s="57">
        <f>+D24/D$24</f>
        <v>1</v>
      </c>
      <c r="F24" s="54">
        <f>SUM(F22:F23)</f>
        <v>100337</v>
      </c>
      <c r="G24" s="57">
        <f>+F24/F$24</f>
        <v>1</v>
      </c>
      <c r="H24" s="67">
        <f>SUM(H22:H23)</f>
        <v>1072</v>
      </c>
      <c r="I24" s="73">
        <f>+H24/H$24</f>
        <v>1</v>
      </c>
      <c r="J24" s="67">
        <f>SUM(J22:J23)</f>
        <v>1050.9473647060856</v>
      </c>
      <c r="K24" s="73">
        <f>+J24/J$24</f>
        <v>1</v>
      </c>
      <c r="L24" s="67">
        <f>SUM(L22:L23)</f>
        <v>107440</v>
      </c>
      <c r="M24" s="73">
        <f>+L24/L$24</f>
        <v>1</v>
      </c>
      <c r="N24" s="54">
        <f>SUM(N22:N23)</f>
        <v>1004</v>
      </c>
      <c r="O24" s="57">
        <f>+N24/N$24</f>
        <v>1</v>
      </c>
      <c r="P24" s="54">
        <f>SUM(P22:P23)</f>
        <v>1965.8048472651185</v>
      </c>
      <c r="Q24" s="57">
        <f>+P24/P$24</f>
        <v>1</v>
      </c>
      <c r="R24" s="54">
        <f>SUM(R22:R23)</f>
        <v>117165</v>
      </c>
      <c r="S24" s="57">
        <f>+R24/R$24</f>
        <v>1</v>
      </c>
      <c r="T24" s="67">
        <f>SUM(T22:T23)</f>
        <v>0</v>
      </c>
      <c r="U24" s="73" t="e">
        <f>+T24/T$24</f>
        <v>#DIV/0!</v>
      </c>
      <c r="V24" s="67">
        <f>SUM(V22:V23)</f>
        <v>0</v>
      </c>
      <c r="W24" s="73" t="e">
        <f>+V24/V$24</f>
        <v>#DIV/0!</v>
      </c>
      <c r="X24" s="67">
        <f>SUM(X22:X23)</f>
        <v>0</v>
      </c>
      <c r="Y24" s="73" t="e">
        <f>+X24/X$24</f>
        <v>#DIV/0!</v>
      </c>
    </row>
    <row r="25" spans="1:32" x14ac:dyDescent="0.25">
      <c r="A25" s="41"/>
      <c r="B25" s="60"/>
      <c r="C25" s="43"/>
      <c r="D25" s="60"/>
      <c r="E25" s="43"/>
      <c r="F25" s="60"/>
      <c r="G25" s="43"/>
      <c r="H25" s="74"/>
      <c r="I25" s="75"/>
      <c r="J25" s="74"/>
      <c r="K25" s="75"/>
      <c r="L25" s="74"/>
      <c r="M25" s="75"/>
      <c r="N25" s="60"/>
      <c r="O25" s="43"/>
      <c r="P25" s="60"/>
      <c r="Q25" s="43"/>
      <c r="R25" s="60"/>
      <c r="S25" s="43"/>
      <c r="T25" s="74"/>
      <c r="U25" s="75"/>
      <c r="V25" s="74"/>
      <c r="W25" s="75"/>
      <c r="X25" s="74"/>
      <c r="Y25" s="75"/>
    </row>
    <row r="26" spans="1:32" x14ac:dyDescent="0.25">
      <c r="A26" s="45" t="s">
        <v>2</v>
      </c>
      <c r="B26" s="53">
        <f>B24-B27</f>
        <v>412</v>
      </c>
      <c r="C26" s="30">
        <f>+B26/B$28</f>
        <v>0.83569979716024345</v>
      </c>
      <c r="D26" s="53">
        <f>D20-D27</f>
        <v>222.21251959999995</v>
      </c>
      <c r="E26" s="30">
        <f>+D26/D$28</f>
        <v>0.73286063482188746</v>
      </c>
      <c r="F26" s="53">
        <f>F20-F27</f>
        <v>79808</v>
      </c>
      <c r="G26" s="30">
        <f>+F26/F$28</f>
        <v>0.79539950367262324</v>
      </c>
      <c r="H26" s="61">
        <f>H24-H27</f>
        <v>1560</v>
      </c>
      <c r="I26" s="71">
        <f>+H26/H$28</f>
        <v>1.455223880597015</v>
      </c>
      <c r="J26" s="61">
        <f>J20-J27</f>
        <v>1538.9473647060856</v>
      </c>
      <c r="K26" s="71">
        <f>+J26/J$28</f>
        <v>1.4643429503593428</v>
      </c>
      <c r="L26" s="61">
        <f>L20-L27</f>
        <v>85672</v>
      </c>
      <c r="M26" s="71">
        <f>+L26/L$28</f>
        <v>0.79739389426656737</v>
      </c>
      <c r="N26" s="53">
        <f>N24-N27</f>
        <v>944</v>
      </c>
      <c r="O26" s="30">
        <f>+N26/N$28</f>
        <v>0.94023904382470125</v>
      </c>
      <c r="P26" s="53">
        <f>P20-P27</f>
        <v>1905.8048472651185</v>
      </c>
      <c r="Q26" s="30">
        <f>+P26/P$28</f>
        <v>0.96947815034464202</v>
      </c>
      <c r="R26" s="53">
        <f>R20-R27</f>
        <v>94582</v>
      </c>
      <c r="S26" s="30">
        <f>+R26/R$28</f>
        <v>0.80725472624077155</v>
      </c>
      <c r="T26" s="61">
        <f>T24-T27</f>
        <v>0</v>
      </c>
      <c r="U26" s="71" t="e">
        <f>+T26/T$28</f>
        <v>#DIV/0!</v>
      </c>
      <c r="V26" s="61">
        <f>V20-V27</f>
        <v>0</v>
      </c>
      <c r="W26" s="71" t="e">
        <f>+V26/V$28</f>
        <v>#DIV/0!</v>
      </c>
      <c r="X26" s="61">
        <f>X20-X27</f>
        <v>0</v>
      </c>
      <c r="Y26" s="71" t="e">
        <f>+X26/X$28</f>
        <v>#DIV/0!</v>
      </c>
    </row>
    <row r="27" spans="1:32" x14ac:dyDescent="0.25">
      <c r="A27" s="46" t="s">
        <v>1</v>
      </c>
      <c r="B27" s="55">
        <f>B19</f>
        <v>81</v>
      </c>
      <c r="C27" s="9">
        <f>+B27/B$28</f>
        <v>0.1643002028397566</v>
      </c>
      <c r="D27" s="55">
        <f>D19</f>
        <v>81</v>
      </c>
      <c r="E27" s="9">
        <f>+D27/D$28</f>
        <v>0.26713936517811254</v>
      </c>
      <c r="F27" s="55">
        <f>+F19</f>
        <v>20529</v>
      </c>
      <c r="G27" s="9">
        <f>+F27/F$28</f>
        <v>0.20460049632737673</v>
      </c>
      <c r="H27" s="65">
        <f>H19</f>
        <v>-488</v>
      </c>
      <c r="I27" s="72">
        <f>+H27/H$28</f>
        <v>-0.45522388059701491</v>
      </c>
      <c r="J27" s="65">
        <f>J19</f>
        <v>-488</v>
      </c>
      <c r="K27" s="72">
        <f>+J27/J$28</f>
        <v>-0.46434295035934275</v>
      </c>
      <c r="L27" s="65">
        <f>+L19</f>
        <v>21768</v>
      </c>
      <c r="M27" s="72">
        <f>+L27/L$28</f>
        <v>0.2026061057334326</v>
      </c>
      <c r="N27" s="55">
        <f>N19</f>
        <v>60</v>
      </c>
      <c r="O27" s="9">
        <f>+N27/N$28</f>
        <v>5.9760956175298807E-2</v>
      </c>
      <c r="P27" s="55">
        <f>P19</f>
        <v>60</v>
      </c>
      <c r="Q27" s="9">
        <f>+P27/P$28</f>
        <v>3.0521849655358028E-2</v>
      </c>
      <c r="R27" s="55">
        <f>+R19</f>
        <v>22583</v>
      </c>
      <c r="S27" s="9">
        <f>+R27/R$28</f>
        <v>0.19274527375922842</v>
      </c>
      <c r="T27" s="65">
        <f>T19</f>
        <v>0</v>
      </c>
      <c r="U27" s="72" t="e">
        <f>+T27/T$28</f>
        <v>#DIV/0!</v>
      </c>
      <c r="V27" s="65">
        <f>V19</f>
        <v>0</v>
      </c>
      <c r="W27" s="72" t="e">
        <f>+V27/V$28</f>
        <v>#DIV/0!</v>
      </c>
      <c r="X27" s="65">
        <f>+X19</f>
        <v>0</v>
      </c>
      <c r="Y27" s="72" t="e">
        <f>+X27/X$28</f>
        <v>#DIV/0!</v>
      </c>
    </row>
    <row r="28" spans="1:32" x14ac:dyDescent="0.25">
      <c r="A28" s="47" t="s">
        <v>0</v>
      </c>
      <c r="B28" s="54">
        <f>SUM(B26:B27)</f>
        <v>493</v>
      </c>
      <c r="C28" s="57">
        <f>+B28/B$28</f>
        <v>1</v>
      </c>
      <c r="D28" s="54">
        <f>SUM(D26:D27)</f>
        <v>303.21251959999995</v>
      </c>
      <c r="E28" s="57">
        <f>+D28/D$28</f>
        <v>1</v>
      </c>
      <c r="F28" s="54">
        <f>SUM(F26:F27)</f>
        <v>100337</v>
      </c>
      <c r="G28" s="57">
        <f>+F28/F$28</f>
        <v>1</v>
      </c>
      <c r="H28" s="67">
        <f>SUM(H26:H27)</f>
        <v>1072</v>
      </c>
      <c r="I28" s="73">
        <f>+H28/H$28</f>
        <v>1</v>
      </c>
      <c r="J28" s="67">
        <f>SUM(J26:J27)</f>
        <v>1050.9473647060856</v>
      </c>
      <c r="K28" s="73">
        <f>+J28/J$28</f>
        <v>1</v>
      </c>
      <c r="L28" s="67">
        <f>SUM(L26:L27)</f>
        <v>107440</v>
      </c>
      <c r="M28" s="73">
        <f>+L28/L$28</f>
        <v>1</v>
      </c>
      <c r="N28" s="54">
        <f>SUM(N26:N27)</f>
        <v>1004</v>
      </c>
      <c r="O28" s="57">
        <f>+N28/N$28</f>
        <v>1</v>
      </c>
      <c r="P28" s="54">
        <f>SUM(P26:P27)</f>
        <v>1965.8048472651185</v>
      </c>
      <c r="Q28" s="57">
        <f>+P28/P$28</f>
        <v>1</v>
      </c>
      <c r="R28" s="54">
        <f>SUM(R26:R27)</f>
        <v>117165</v>
      </c>
      <c r="S28" s="57">
        <f>+R28/R$28</f>
        <v>1</v>
      </c>
      <c r="T28" s="67">
        <f>SUM(T26:T27)</f>
        <v>0</v>
      </c>
      <c r="U28" s="73" t="e">
        <f>+T28/T$28</f>
        <v>#DIV/0!</v>
      </c>
      <c r="V28" s="67">
        <f>SUM(V26:V27)</f>
        <v>0</v>
      </c>
      <c r="W28" s="73" t="e">
        <f>+V28/V$28</f>
        <v>#DIV/0!</v>
      </c>
      <c r="X28" s="67">
        <f>SUM(X26:X27)</f>
        <v>0</v>
      </c>
      <c r="Y28" s="73" t="e">
        <f>+X28/X$28</f>
        <v>#DIV/0!</v>
      </c>
    </row>
    <row r="29" spans="1:32" x14ac:dyDescent="0.25"/>
    <row r="30" spans="1:32" x14ac:dyDescent="0.25">
      <c r="A30" s="48" t="s">
        <v>35</v>
      </c>
      <c r="B30" s="109" t="s">
        <v>25</v>
      </c>
      <c r="C30" s="100"/>
      <c r="D30" s="100"/>
      <c r="E30" s="100"/>
      <c r="F30" s="100"/>
      <c r="G30" s="101"/>
      <c r="H30" s="99" t="s">
        <v>24</v>
      </c>
      <c r="I30" s="100"/>
      <c r="J30" s="100"/>
      <c r="K30" s="100"/>
      <c r="L30" s="100"/>
      <c r="M30" s="101"/>
      <c r="N30" s="99" t="s">
        <v>23</v>
      </c>
      <c r="O30" s="100"/>
      <c r="P30" s="100"/>
      <c r="Q30" s="100"/>
      <c r="R30" s="100"/>
      <c r="S30" s="101"/>
      <c r="T30" s="99" t="s">
        <v>22</v>
      </c>
      <c r="U30" s="100"/>
      <c r="V30" s="100"/>
      <c r="W30" s="100"/>
      <c r="X30" s="100"/>
      <c r="Y30" s="101"/>
    </row>
    <row r="31" spans="1:32" ht="24.75" customHeight="1" x14ac:dyDescent="0.25">
      <c r="A31" s="107">
        <v>2024</v>
      </c>
      <c r="B31" s="102" t="s">
        <v>21</v>
      </c>
      <c r="C31" s="103"/>
      <c r="D31" s="104" t="s">
        <v>20</v>
      </c>
      <c r="E31" s="104"/>
      <c r="F31" s="104" t="s">
        <v>19</v>
      </c>
      <c r="G31" s="105"/>
      <c r="H31" s="106" t="s">
        <v>21</v>
      </c>
      <c r="I31" s="104"/>
      <c r="J31" s="104" t="s">
        <v>20</v>
      </c>
      <c r="K31" s="104"/>
      <c r="L31" s="104" t="s">
        <v>19</v>
      </c>
      <c r="M31" s="105"/>
      <c r="N31" s="106" t="s">
        <v>21</v>
      </c>
      <c r="O31" s="104"/>
      <c r="P31" s="104" t="s">
        <v>20</v>
      </c>
      <c r="Q31" s="104"/>
      <c r="R31" s="104" t="s">
        <v>19</v>
      </c>
      <c r="S31" s="105"/>
      <c r="T31" s="106" t="s">
        <v>21</v>
      </c>
      <c r="U31" s="104"/>
      <c r="V31" s="104" t="s">
        <v>20</v>
      </c>
      <c r="W31" s="104"/>
      <c r="X31" s="104" t="s">
        <v>19</v>
      </c>
      <c r="Y31" s="105"/>
    </row>
    <row r="32" spans="1:32" x14ac:dyDescent="0.25">
      <c r="A32" s="108"/>
      <c r="B32" s="50" t="s">
        <v>18</v>
      </c>
      <c r="C32" s="51" t="s">
        <v>17</v>
      </c>
      <c r="D32" s="51" t="s">
        <v>18</v>
      </c>
      <c r="E32" s="51" t="s">
        <v>17</v>
      </c>
      <c r="F32" s="51" t="s">
        <v>18</v>
      </c>
      <c r="G32" s="52" t="s">
        <v>17</v>
      </c>
      <c r="H32" s="50" t="s">
        <v>18</v>
      </c>
      <c r="I32" s="51" t="s">
        <v>17</v>
      </c>
      <c r="J32" s="51" t="s">
        <v>18</v>
      </c>
      <c r="K32" s="51" t="s">
        <v>17</v>
      </c>
      <c r="L32" s="51" t="s">
        <v>18</v>
      </c>
      <c r="M32" s="52" t="s">
        <v>17</v>
      </c>
      <c r="N32" s="50" t="s">
        <v>18</v>
      </c>
      <c r="O32" s="51" t="s">
        <v>17</v>
      </c>
      <c r="P32" s="51" t="s">
        <v>18</v>
      </c>
      <c r="Q32" s="51" t="s">
        <v>17</v>
      </c>
      <c r="R32" s="51" t="s">
        <v>18</v>
      </c>
      <c r="S32" s="52" t="s">
        <v>17</v>
      </c>
      <c r="T32" s="50" t="s">
        <v>18</v>
      </c>
      <c r="U32" s="51" t="s">
        <v>17</v>
      </c>
      <c r="V32" s="51" t="s">
        <v>18</v>
      </c>
      <c r="W32" s="51" t="s">
        <v>17</v>
      </c>
      <c r="X32" s="51" t="s">
        <v>18</v>
      </c>
      <c r="Y32" s="52" t="s">
        <v>17</v>
      </c>
    </row>
    <row r="33" spans="1:32" x14ac:dyDescent="0.25">
      <c r="A33" s="22" t="s">
        <v>16</v>
      </c>
      <c r="B33" s="53">
        <f>+B8</f>
        <v>-154</v>
      </c>
      <c r="C33" s="20">
        <f>+B33/B$45</f>
        <v>-0.31237322515212984</v>
      </c>
      <c r="D33" s="53">
        <f t="shared" ref="D33:D44" si="21">+D8</f>
        <v>-154</v>
      </c>
      <c r="E33" s="20">
        <f>+D33/D$45</f>
        <v>-0.50789459552381899</v>
      </c>
      <c r="F33" s="53">
        <f t="shared" ref="F33:F44" si="22">+F8</f>
        <v>37922</v>
      </c>
      <c r="G33" s="20">
        <f>+F33/F$45</f>
        <v>0.37794632089857183</v>
      </c>
      <c r="H33" s="61">
        <f>B8+H8</f>
        <v>907</v>
      </c>
      <c r="I33" s="62">
        <f>+H33/H$45</f>
        <v>0.57955271565495203</v>
      </c>
      <c r="J33" s="61">
        <f t="shared" ref="J33:J45" si="23">D8+J8</f>
        <v>907</v>
      </c>
      <c r="K33" s="62">
        <f>+J33/J$45</f>
        <v>0.66978797002598811</v>
      </c>
      <c r="L33" s="61">
        <f>L8</f>
        <v>42439</v>
      </c>
      <c r="M33" s="62">
        <f>+L33/L$45</f>
        <v>0.39500186150409533</v>
      </c>
      <c r="N33" s="61">
        <f>H8+N8+B8</f>
        <v>1311</v>
      </c>
      <c r="O33" s="62">
        <f>+N33/N$45</f>
        <v>0.51031529778123785</v>
      </c>
      <c r="P33" s="61">
        <f>J8+P8+D8</f>
        <v>1311</v>
      </c>
      <c r="Q33" s="62">
        <f>+P33/P$45</f>
        <v>0.39488371293015434</v>
      </c>
      <c r="R33" s="61">
        <f>R8</f>
        <v>58280</v>
      </c>
      <c r="S33" s="62">
        <f>+R33/R$45</f>
        <v>0.49741817095549012</v>
      </c>
      <c r="T33" s="61">
        <f>N8+T8+H8+B8</f>
        <v>1311</v>
      </c>
      <c r="U33" s="62">
        <f>+T33/T$45</f>
        <v>0.51031529778123785</v>
      </c>
      <c r="V33" s="61">
        <f t="shared" ref="V33:V53" si="24">P8+V8+J8+D8</f>
        <v>1311</v>
      </c>
      <c r="W33" s="62">
        <f>+V33/V$45</f>
        <v>0.39488371293015434</v>
      </c>
      <c r="X33" s="61">
        <f>X8</f>
        <v>0</v>
      </c>
      <c r="Y33" s="62" t="e">
        <f>+X33/X$45</f>
        <v>#DIV/0!</v>
      </c>
      <c r="AA33" s="85"/>
    </row>
    <row r="34" spans="1:32" x14ac:dyDescent="0.25">
      <c r="A34" s="15" t="s">
        <v>15</v>
      </c>
      <c r="B34" s="14">
        <f t="shared" ref="B34:B44" si="25">+B9</f>
        <v>194.89205575</v>
      </c>
      <c r="C34" s="13">
        <f t="shared" ref="C34:E44" si="26">+B34/B$45</f>
        <v>0.39531857150101418</v>
      </c>
      <c r="D34" s="14">
        <f t="shared" si="21"/>
        <v>152.36746389999999</v>
      </c>
      <c r="E34" s="13">
        <f t="shared" si="26"/>
        <v>0.5025104639511726</v>
      </c>
      <c r="F34" s="14">
        <f t="shared" si="22"/>
        <v>16511.688999999998</v>
      </c>
      <c r="G34" s="13">
        <f t="shared" ref="G34" si="27">+F34/F$45</f>
        <v>0.16456231499845519</v>
      </c>
      <c r="H34" s="63">
        <f t="shared" ref="H34:H45" si="28">B9+H9</f>
        <v>336.52338688566829</v>
      </c>
      <c r="I34" s="64">
        <f t="shared" ref="I34:I44" si="29">+H34/H$45</f>
        <v>0.21503091813780723</v>
      </c>
      <c r="J34" s="63">
        <f t="shared" si="23"/>
        <v>336.80003586252622</v>
      </c>
      <c r="K34" s="64">
        <f t="shared" ref="K34:K44" si="30">+J34/J$45</f>
        <v>0.24871511832970389</v>
      </c>
      <c r="L34" s="63">
        <f t="shared" ref="L34:L44" si="31">L9</f>
        <v>17067.228950000001</v>
      </c>
      <c r="M34" s="64">
        <f t="shared" ref="M34:M44" si="32">+L34/L$45</f>
        <v>0.15885358293000745</v>
      </c>
      <c r="N34" s="63">
        <f t="shared" ref="N34:N53" si="33">H9+N9+B9</f>
        <v>525.08593768050196</v>
      </c>
      <c r="O34" s="64">
        <f t="shared" ref="O34:O44" si="34">+N34/N$45</f>
        <v>0.20439312482697625</v>
      </c>
      <c r="P34" s="84">
        <f t="shared" ref="P34:P45" si="35">J9+P9+D9</f>
        <v>646.94318592715103</v>
      </c>
      <c r="Q34" s="64">
        <f t="shared" ref="Q34:Q44" si="36">+P34/P$45</f>
        <v>0.19486447544910493</v>
      </c>
      <c r="R34" s="63">
        <f t="shared" ref="R34:R44" si="37">R9</f>
        <v>9295.0653399999992</v>
      </c>
      <c r="S34" s="64">
        <f t="shared" ref="S34:S44" si="38">+R34/R$45</f>
        <v>7.9333122860922617E-2</v>
      </c>
      <c r="T34" s="63">
        <f t="shared" ref="T34:T44" si="39">N9+T9+H9+B9</f>
        <v>525.08593768050196</v>
      </c>
      <c r="U34" s="64">
        <f t="shared" ref="U34:U44" si="40">+T34/T$45</f>
        <v>0.20439312482697625</v>
      </c>
      <c r="V34" s="63">
        <f t="shared" si="24"/>
        <v>646.94318592715103</v>
      </c>
      <c r="W34" s="64">
        <f t="shared" ref="W34:W44" si="41">+V34/V$45</f>
        <v>0.19486447544910493</v>
      </c>
      <c r="X34" s="63">
        <f t="shared" ref="X34:X44" si="42">X9</f>
        <v>0</v>
      </c>
      <c r="Y34" s="64" t="e">
        <f t="shared" ref="Y34:Y44" si="43">+X34/X$45</f>
        <v>#DIV/0!</v>
      </c>
      <c r="AA34" s="85"/>
    </row>
    <row r="35" spans="1:32" x14ac:dyDescent="0.25">
      <c r="A35" s="15" t="s">
        <v>14</v>
      </c>
      <c r="B35" s="14">
        <f t="shared" si="25"/>
        <v>0</v>
      </c>
      <c r="C35" s="13">
        <f t="shared" si="26"/>
        <v>0</v>
      </c>
      <c r="D35" s="14">
        <f t="shared" si="21"/>
        <v>0</v>
      </c>
      <c r="E35" s="13">
        <f t="shared" si="26"/>
        <v>0</v>
      </c>
      <c r="F35" s="14">
        <f t="shared" si="22"/>
        <v>0</v>
      </c>
      <c r="G35" s="13">
        <f t="shared" ref="G35" si="44">+F35/F$45</f>
        <v>0</v>
      </c>
      <c r="H35" s="63">
        <f t="shared" si="28"/>
        <v>0</v>
      </c>
      <c r="I35" s="64">
        <f t="shared" si="29"/>
        <v>0</v>
      </c>
      <c r="J35" s="63">
        <f t="shared" si="23"/>
        <v>0</v>
      </c>
      <c r="K35" s="64">
        <f t="shared" si="30"/>
        <v>0</v>
      </c>
      <c r="L35" s="63">
        <f t="shared" si="31"/>
        <v>0</v>
      </c>
      <c r="M35" s="64">
        <f t="shared" si="32"/>
        <v>0</v>
      </c>
      <c r="N35" s="83">
        <f t="shared" si="33"/>
        <v>0</v>
      </c>
      <c r="O35" s="64">
        <f t="shared" si="34"/>
        <v>0</v>
      </c>
      <c r="P35" s="63">
        <f t="shared" si="35"/>
        <v>0</v>
      </c>
      <c r="Q35" s="64">
        <f t="shared" si="36"/>
        <v>0</v>
      </c>
      <c r="R35" s="63">
        <f t="shared" si="37"/>
        <v>0</v>
      </c>
      <c r="S35" s="64">
        <f t="shared" si="38"/>
        <v>0</v>
      </c>
      <c r="T35" s="63">
        <f t="shared" si="39"/>
        <v>0</v>
      </c>
      <c r="U35" s="64">
        <f t="shared" si="40"/>
        <v>0</v>
      </c>
      <c r="V35" s="63">
        <f t="shared" si="24"/>
        <v>0</v>
      </c>
      <c r="W35" s="64">
        <f t="shared" si="41"/>
        <v>0</v>
      </c>
      <c r="X35" s="63">
        <f t="shared" si="42"/>
        <v>0</v>
      </c>
      <c r="Y35" s="64" t="e">
        <f t="shared" si="43"/>
        <v>#DIV/0!</v>
      </c>
    </row>
    <row r="36" spans="1:32" x14ac:dyDescent="0.25">
      <c r="A36" s="15" t="s">
        <v>13</v>
      </c>
      <c r="B36" s="14">
        <f t="shared" si="25"/>
        <v>285.10794425</v>
      </c>
      <c r="C36" s="13">
        <f t="shared" si="26"/>
        <v>0.57831226014198789</v>
      </c>
      <c r="D36" s="14">
        <f t="shared" si="21"/>
        <v>137.84505569999999</v>
      </c>
      <c r="E36" s="13">
        <f t="shared" si="26"/>
        <v>0.45461531694616747</v>
      </c>
      <c r="F36" s="14">
        <f t="shared" si="22"/>
        <v>24454.311000000002</v>
      </c>
      <c r="G36" s="13">
        <f t="shared" ref="G36" si="45">+F36/F$45</f>
        <v>0.24372176764304296</v>
      </c>
      <c r="H36" s="63">
        <f t="shared" si="28"/>
        <v>594.47661311433171</v>
      </c>
      <c r="I36" s="64">
        <f t="shared" si="29"/>
        <v>0.37985726077593079</v>
      </c>
      <c r="J36" s="63">
        <f t="shared" si="23"/>
        <v>383.35984844355949</v>
      </c>
      <c r="K36" s="64">
        <f t="shared" si="30"/>
        <v>0.28309792136547096</v>
      </c>
      <c r="L36" s="63">
        <f t="shared" si="31"/>
        <v>25176.771049999999</v>
      </c>
      <c r="M36" s="64">
        <f t="shared" si="32"/>
        <v>0.23433331208116157</v>
      </c>
      <c r="N36" s="84">
        <f t="shared" si="33"/>
        <v>900.91406231949804</v>
      </c>
      <c r="O36" s="64">
        <f t="shared" si="34"/>
        <v>0.35068667275963333</v>
      </c>
      <c r="P36" s="84">
        <f t="shared" si="35"/>
        <v>1530.0215456440533</v>
      </c>
      <c r="Q36" s="64">
        <f t="shared" si="36"/>
        <v>0.46085475881545179</v>
      </c>
      <c r="R36" s="63">
        <f t="shared" si="37"/>
        <v>25986.934659999999</v>
      </c>
      <c r="S36" s="64">
        <f t="shared" si="38"/>
        <v>0.22179776093543294</v>
      </c>
      <c r="T36" s="63">
        <f t="shared" si="39"/>
        <v>900.91406231949804</v>
      </c>
      <c r="U36" s="64">
        <f t="shared" si="40"/>
        <v>0.35068667275963333</v>
      </c>
      <c r="V36" s="63" t="e">
        <f>T36-GETPIVOTDATA("שקל חדש לדו""ח (מטבע הצגה)",'[4]הכנסות מימון'!$F$86,"סעיף אב","רווח כולל אחר בגין השקעות במכשירי חוב בשווי הוגן דרך רווח כולל אחר")/1000+'[4]הכנסות מימון'!$M$79-2</f>
        <v>#REF!</v>
      </c>
      <c r="W36" s="64" t="e">
        <f t="shared" si="41"/>
        <v>#REF!</v>
      </c>
      <c r="X36" s="63">
        <f t="shared" si="42"/>
        <v>0</v>
      </c>
      <c r="Y36" s="64" t="e">
        <f t="shared" si="43"/>
        <v>#DIV/0!</v>
      </c>
      <c r="AA36" s="85"/>
    </row>
    <row r="37" spans="1:32" x14ac:dyDescent="0.25">
      <c r="A37" s="15" t="s">
        <v>12</v>
      </c>
      <c r="B37" s="14">
        <f t="shared" si="25"/>
        <v>0</v>
      </c>
      <c r="C37" s="13">
        <f t="shared" si="26"/>
        <v>0</v>
      </c>
      <c r="D37" s="14">
        <f t="shared" si="21"/>
        <v>0</v>
      </c>
      <c r="E37" s="13">
        <f t="shared" si="26"/>
        <v>0</v>
      </c>
      <c r="F37" s="14">
        <f t="shared" si="22"/>
        <v>0</v>
      </c>
      <c r="G37" s="13">
        <f t="shared" ref="G37" si="46">+F37/F$45</f>
        <v>0</v>
      </c>
      <c r="H37" s="63">
        <f t="shared" si="28"/>
        <v>0</v>
      </c>
      <c r="I37" s="64">
        <f t="shared" si="29"/>
        <v>0</v>
      </c>
      <c r="J37" s="63">
        <f t="shared" si="23"/>
        <v>0</v>
      </c>
      <c r="K37" s="64">
        <f t="shared" si="30"/>
        <v>0</v>
      </c>
      <c r="L37" s="63">
        <f t="shared" si="31"/>
        <v>0</v>
      </c>
      <c r="M37" s="64">
        <f t="shared" si="32"/>
        <v>0</v>
      </c>
      <c r="N37" s="63">
        <f t="shared" si="33"/>
        <v>0</v>
      </c>
      <c r="O37" s="64">
        <f t="shared" si="34"/>
        <v>0</v>
      </c>
      <c r="P37" s="63">
        <f t="shared" si="35"/>
        <v>0</v>
      </c>
      <c r="Q37" s="64">
        <f t="shared" si="36"/>
        <v>0</v>
      </c>
      <c r="R37" s="63">
        <f t="shared" si="37"/>
        <v>0</v>
      </c>
      <c r="S37" s="64">
        <f t="shared" si="38"/>
        <v>0</v>
      </c>
      <c r="T37" s="63">
        <f t="shared" si="39"/>
        <v>0</v>
      </c>
      <c r="U37" s="64">
        <f t="shared" si="40"/>
        <v>0</v>
      </c>
      <c r="V37" s="63">
        <f t="shared" si="24"/>
        <v>0</v>
      </c>
      <c r="W37" s="64">
        <f t="shared" si="41"/>
        <v>0</v>
      </c>
      <c r="X37" s="63">
        <f t="shared" si="42"/>
        <v>0</v>
      </c>
      <c r="Y37" s="64" t="e">
        <f t="shared" si="43"/>
        <v>#DIV/0!</v>
      </c>
    </row>
    <row r="38" spans="1:32" x14ac:dyDescent="0.25">
      <c r="A38" s="15" t="s">
        <v>11</v>
      </c>
      <c r="B38" s="14">
        <f t="shared" si="25"/>
        <v>0</v>
      </c>
      <c r="C38" s="13">
        <f t="shared" si="26"/>
        <v>0</v>
      </c>
      <c r="D38" s="14">
        <f t="shared" si="21"/>
        <v>0</v>
      </c>
      <c r="E38" s="13">
        <f t="shared" si="26"/>
        <v>0</v>
      </c>
      <c r="F38" s="14">
        <f t="shared" si="22"/>
        <v>0</v>
      </c>
      <c r="G38" s="13">
        <f t="shared" ref="G38" si="47">+F38/F$45</f>
        <v>0</v>
      </c>
      <c r="H38" s="63">
        <f t="shared" si="28"/>
        <v>0</v>
      </c>
      <c r="I38" s="64">
        <f t="shared" si="29"/>
        <v>0</v>
      </c>
      <c r="J38" s="63">
        <f t="shared" si="23"/>
        <v>0</v>
      </c>
      <c r="K38" s="64">
        <f t="shared" si="30"/>
        <v>0</v>
      </c>
      <c r="L38" s="63">
        <f t="shared" si="31"/>
        <v>0</v>
      </c>
      <c r="M38" s="64">
        <f t="shared" si="32"/>
        <v>0</v>
      </c>
      <c r="N38" s="63">
        <f t="shared" si="33"/>
        <v>0</v>
      </c>
      <c r="O38" s="64">
        <f t="shared" si="34"/>
        <v>0</v>
      </c>
      <c r="P38" s="63">
        <f t="shared" si="35"/>
        <v>0</v>
      </c>
      <c r="Q38" s="64">
        <f t="shared" si="36"/>
        <v>0</v>
      </c>
      <c r="R38" s="63">
        <f t="shared" si="37"/>
        <v>0</v>
      </c>
      <c r="S38" s="64">
        <f t="shared" si="38"/>
        <v>0</v>
      </c>
      <c r="T38" s="63">
        <f t="shared" si="39"/>
        <v>0</v>
      </c>
      <c r="U38" s="64">
        <f t="shared" si="40"/>
        <v>0</v>
      </c>
      <c r="V38" s="63">
        <f t="shared" si="24"/>
        <v>0</v>
      </c>
      <c r="W38" s="64">
        <f t="shared" si="41"/>
        <v>0</v>
      </c>
      <c r="X38" s="63">
        <f t="shared" si="42"/>
        <v>0</v>
      </c>
      <c r="Y38" s="64" t="e">
        <f t="shared" si="43"/>
        <v>#DIV/0!</v>
      </c>
    </row>
    <row r="39" spans="1:32" x14ac:dyDescent="0.25">
      <c r="A39" s="15" t="s">
        <v>10</v>
      </c>
      <c r="B39" s="14">
        <f t="shared" si="25"/>
        <v>86</v>
      </c>
      <c r="C39" s="13">
        <f t="shared" si="26"/>
        <v>0.17444219066937119</v>
      </c>
      <c r="D39" s="14">
        <f t="shared" si="21"/>
        <v>86</v>
      </c>
      <c r="E39" s="13">
        <f t="shared" si="26"/>
        <v>0.28362944944836643</v>
      </c>
      <c r="F39" s="14">
        <f t="shared" si="22"/>
        <v>920</v>
      </c>
      <c r="G39" s="13">
        <f t="shared" ref="G39" si="48">+F39/F$45</f>
        <v>9.1691001325532959E-3</v>
      </c>
      <c r="H39" s="63">
        <f t="shared" si="28"/>
        <v>134</v>
      </c>
      <c r="I39" s="64">
        <f t="shared" si="29"/>
        <v>8.5623003194888178E-2</v>
      </c>
      <c r="J39" s="63">
        <f t="shared" si="23"/>
        <v>134</v>
      </c>
      <c r="K39" s="64">
        <f t="shared" si="30"/>
        <v>9.8954341767896817E-2</v>
      </c>
      <c r="L39" s="63">
        <f t="shared" si="31"/>
        <v>989</v>
      </c>
      <c r="M39" s="64">
        <f t="shared" si="32"/>
        <v>9.2051377513030531E-3</v>
      </c>
      <c r="N39" s="63">
        <f t="shared" si="33"/>
        <v>179</v>
      </c>
      <c r="O39" s="64">
        <f t="shared" si="34"/>
        <v>6.9676917088361226E-2</v>
      </c>
      <c r="P39" s="63">
        <f t="shared" si="35"/>
        <v>179</v>
      </c>
      <c r="Q39" s="64">
        <f t="shared" si="36"/>
        <v>5.3916235403888346E-2</v>
      </c>
      <c r="R39" s="63">
        <f t="shared" si="37"/>
        <v>1020</v>
      </c>
      <c r="S39" s="64">
        <f t="shared" si="38"/>
        <v>8.7056714889258736E-3</v>
      </c>
      <c r="T39" s="63">
        <f t="shared" si="39"/>
        <v>179</v>
      </c>
      <c r="U39" s="64">
        <f t="shared" si="40"/>
        <v>6.9676917088361226E-2</v>
      </c>
      <c r="V39" s="63">
        <f t="shared" si="24"/>
        <v>179</v>
      </c>
      <c r="W39" s="64">
        <f t="shared" si="41"/>
        <v>5.3916235403888346E-2</v>
      </c>
      <c r="X39" s="63">
        <f t="shared" si="42"/>
        <v>0</v>
      </c>
      <c r="Y39" s="64" t="e">
        <f t="shared" si="43"/>
        <v>#DIV/0!</v>
      </c>
    </row>
    <row r="40" spans="1:32" x14ac:dyDescent="0.25">
      <c r="A40" s="15" t="s">
        <v>9</v>
      </c>
      <c r="B40" s="14">
        <f t="shared" si="25"/>
        <v>0</v>
      </c>
      <c r="C40" s="13">
        <f t="shared" si="26"/>
        <v>0</v>
      </c>
      <c r="D40" s="14">
        <f t="shared" si="21"/>
        <v>0</v>
      </c>
      <c r="E40" s="13">
        <f t="shared" si="26"/>
        <v>0</v>
      </c>
      <c r="F40" s="14">
        <f t="shared" si="22"/>
        <v>0</v>
      </c>
      <c r="G40" s="13">
        <f t="shared" ref="G40" si="49">+F40/F$45</f>
        <v>0</v>
      </c>
      <c r="H40" s="63">
        <f t="shared" si="28"/>
        <v>0</v>
      </c>
      <c r="I40" s="64">
        <f t="shared" si="29"/>
        <v>0</v>
      </c>
      <c r="J40" s="63">
        <f t="shared" si="23"/>
        <v>0</v>
      </c>
      <c r="K40" s="64">
        <f t="shared" si="30"/>
        <v>0</v>
      </c>
      <c r="L40" s="63">
        <f t="shared" si="31"/>
        <v>0</v>
      </c>
      <c r="M40" s="64">
        <f t="shared" si="32"/>
        <v>0</v>
      </c>
      <c r="N40" s="63">
        <f t="shared" si="33"/>
        <v>0</v>
      </c>
      <c r="O40" s="64">
        <f t="shared" si="34"/>
        <v>0</v>
      </c>
      <c r="P40" s="63">
        <f t="shared" si="35"/>
        <v>0</v>
      </c>
      <c r="Q40" s="64">
        <f t="shared" si="36"/>
        <v>0</v>
      </c>
      <c r="R40" s="63">
        <f t="shared" si="37"/>
        <v>0</v>
      </c>
      <c r="S40" s="64">
        <f t="shared" si="38"/>
        <v>0</v>
      </c>
      <c r="T40" s="63">
        <f t="shared" si="39"/>
        <v>0</v>
      </c>
      <c r="U40" s="64">
        <f t="shared" si="40"/>
        <v>0</v>
      </c>
      <c r="V40" s="63">
        <f t="shared" si="24"/>
        <v>0</v>
      </c>
      <c r="W40" s="64">
        <f t="shared" si="41"/>
        <v>0</v>
      </c>
      <c r="X40" s="63">
        <f t="shared" si="42"/>
        <v>0</v>
      </c>
      <c r="Y40" s="64" t="e">
        <f t="shared" si="43"/>
        <v>#DIV/0!</v>
      </c>
    </row>
    <row r="41" spans="1:32" x14ac:dyDescent="0.25">
      <c r="A41" s="15" t="s">
        <v>8</v>
      </c>
      <c r="B41" s="14">
        <f t="shared" si="25"/>
        <v>0</v>
      </c>
      <c r="C41" s="13">
        <f t="shared" si="26"/>
        <v>0</v>
      </c>
      <c r="D41" s="14">
        <f t="shared" si="21"/>
        <v>0</v>
      </c>
      <c r="E41" s="13">
        <f t="shared" si="26"/>
        <v>0</v>
      </c>
      <c r="F41" s="14">
        <f t="shared" si="22"/>
        <v>0</v>
      </c>
      <c r="G41" s="13">
        <f t="shared" ref="G41" si="50">+F41/F$45</f>
        <v>0</v>
      </c>
      <c r="H41" s="63">
        <f t="shared" si="28"/>
        <v>0</v>
      </c>
      <c r="I41" s="64">
        <f t="shared" si="29"/>
        <v>0</v>
      </c>
      <c r="J41" s="63">
        <f t="shared" si="23"/>
        <v>0</v>
      </c>
      <c r="K41" s="64">
        <f t="shared" si="30"/>
        <v>0</v>
      </c>
      <c r="L41" s="63">
        <f t="shared" si="31"/>
        <v>0</v>
      </c>
      <c r="M41" s="64">
        <f t="shared" si="32"/>
        <v>0</v>
      </c>
      <c r="N41" s="63">
        <f t="shared" si="33"/>
        <v>0</v>
      </c>
      <c r="O41" s="64">
        <f t="shared" si="34"/>
        <v>0</v>
      </c>
      <c r="P41" s="63">
        <f t="shared" si="35"/>
        <v>0</v>
      </c>
      <c r="Q41" s="64">
        <f t="shared" si="36"/>
        <v>0</v>
      </c>
      <c r="R41" s="63">
        <f t="shared" si="37"/>
        <v>0</v>
      </c>
      <c r="S41" s="64">
        <f t="shared" si="38"/>
        <v>0</v>
      </c>
      <c r="T41" s="63">
        <f t="shared" si="39"/>
        <v>0</v>
      </c>
      <c r="U41" s="64">
        <f t="shared" si="40"/>
        <v>0</v>
      </c>
      <c r="V41" s="63">
        <f t="shared" si="24"/>
        <v>0</v>
      </c>
      <c r="W41" s="64">
        <f t="shared" si="41"/>
        <v>0</v>
      </c>
      <c r="X41" s="63">
        <f t="shared" si="42"/>
        <v>0</v>
      </c>
      <c r="Y41" s="64" t="e">
        <f t="shared" si="43"/>
        <v>#DIV/0!</v>
      </c>
    </row>
    <row r="42" spans="1:32" x14ac:dyDescent="0.25">
      <c r="A42" s="15" t="s">
        <v>7</v>
      </c>
      <c r="B42" s="14">
        <f t="shared" si="25"/>
        <v>0</v>
      </c>
      <c r="C42" s="13">
        <f t="shared" si="26"/>
        <v>0</v>
      </c>
      <c r="D42" s="14">
        <f t="shared" si="21"/>
        <v>0</v>
      </c>
      <c r="E42" s="13">
        <f t="shared" si="26"/>
        <v>0</v>
      </c>
      <c r="F42" s="14">
        <f t="shared" si="22"/>
        <v>0</v>
      </c>
      <c r="G42" s="13">
        <f t="shared" ref="G42" si="51">+F42/F$45</f>
        <v>0</v>
      </c>
      <c r="H42" s="63">
        <f t="shared" si="28"/>
        <v>0</v>
      </c>
      <c r="I42" s="64">
        <f t="shared" si="29"/>
        <v>0</v>
      </c>
      <c r="J42" s="63">
        <f t="shared" si="23"/>
        <v>0</v>
      </c>
      <c r="K42" s="64">
        <f t="shared" si="30"/>
        <v>0</v>
      </c>
      <c r="L42" s="63">
        <f t="shared" si="31"/>
        <v>0</v>
      </c>
      <c r="M42" s="64">
        <f t="shared" si="32"/>
        <v>0</v>
      </c>
      <c r="N42" s="63">
        <f t="shared" si="33"/>
        <v>0</v>
      </c>
      <c r="O42" s="64">
        <f t="shared" si="34"/>
        <v>0</v>
      </c>
      <c r="P42" s="63">
        <f t="shared" si="35"/>
        <v>0</v>
      </c>
      <c r="Q42" s="64">
        <f t="shared" si="36"/>
        <v>0</v>
      </c>
      <c r="R42" s="63">
        <f t="shared" si="37"/>
        <v>0</v>
      </c>
      <c r="S42" s="64">
        <f t="shared" si="38"/>
        <v>0</v>
      </c>
      <c r="T42" s="63">
        <f t="shared" si="39"/>
        <v>0</v>
      </c>
      <c r="U42" s="64">
        <f t="shared" si="40"/>
        <v>0</v>
      </c>
      <c r="V42" s="63">
        <f t="shared" si="24"/>
        <v>0</v>
      </c>
      <c r="W42" s="64">
        <f t="shared" si="41"/>
        <v>0</v>
      </c>
      <c r="X42" s="63">
        <f t="shared" si="42"/>
        <v>0</v>
      </c>
      <c r="Y42" s="64" t="e">
        <f t="shared" si="43"/>
        <v>#DIV/0!</v>
      </c>
    </row>
    <row r="43" spans="1:32" x14ac:dyDescent="0.25">
      <c r="A43" s="15" t="s">
        <v>6</v>
      </c>
      <c r="B43" s="14">
        <f t="shared" si="25"/>
        <v>0</v>
      </c>
      <c r="C43" s="13">
        <f t="shared" si="26"/>
        <v>0</v>
      </c>
      <c r="D43" s="14">
        <f t="shared" si="21"/>
        <v>0</v>
      </c>
      <c r="E43" s="13">
        <f t="shared" si="26"/>
        <v>0</v>
      </c>
      <c r="F43" s="14">
        <f t="shared" si="22"/>
        <v>0</v>
      </c>
      <c r="G43" s="13">
        <f t="shared" ref="G43" si="52">+F43/F$45</f>
        <v>0</v>
      </c>
      <c r="H43" s="63">
        <f t="shared" si="28"/>
        <v>0</v>
      </c>
      <c r="I43" s="64">
        <f t="shared" si="29"/>
        <v>0</v>
      </c>
      <c r="J43" s="63">
        <f t="shared" si="23"/>
        <v>0</v>
      </c>
      <c r="K43" s="64">
        <f t="shared" si="30"/>
        <v>0</v>
      </c>
      <c r="L43" s="63">
        <f t="shared" si="31"/>
        <v>0</v>
      </c>
      <c r="M43" s="64">
        <f t="shared" si="32"/>
        <v>0</v>
      </c>
      <c r="N43" s="63">
        <f t="shared" si="33"/>
        <v>0</v>
      </c>
      <c r="O43" s="64">
        <f t="shared" si="34"/>
        <v>0</v>
      </c>
      <c r="P43" s="63">
        <f t="shared" si="35"/>
        <v>0</v>
      </c>
      <c r="Q43" s="64">
        <f t="shared" si="36"/>
        <v>0</v>
      </c>
      <c r="R43" s="63">
        <f t="shared" si="37"/>
        <v>0</v>
      </c>
      <c r="S43" s="64">
        <f t="shared" si="38"/>
        <v>0</v>
      </c>
      <c r="T43" s="63">
        <f t="shared" si="39"/>
        <v>0</v>
      </c>
      <c r="U43" s="64">
        <f t="shared" si="40"/>
        <v>0</v>
      </c>
      <c r="V43" s="63">
        <f t="shared" si="24"/>
        <v>0</v>
      </c>
      <c r="W43" s="64">
        <f t="shared" si="41"/>
        <v>0</v>
      </c>
      <c r="X43" s="63">
        <f t="shared" si="42"/>
        <v>0</v>
      </c>
      <c r="Y43" s="64" t="e">
        <f t="shared" si="43"/>
        <v>#DIV/0!</v>
      </c>
    </row>
    <row r="44" spans="1:32" x14ac:dyDescent="0.25">
      <c r="A44" s="15" t="s">
        <v>5</v>
      </c>
      <c r="B44" s="55">
        <f t="shared" si="25"/>
        <v>81</v>
      </c>
      <c r="C44" s="59">
        <f t="shared" si="26"/>
        <v>0.1643002028397566</v>
      </c>
      <c r="D44" s="55">
        <f t="shared" si="21"/>
        <v>81</v>
      </c>
      <c r="E44" s="59">
        <f t="shared" si="26"/>
        <v>0.26713936517811254</v>
      </c>
      <c r="F44" s="55">
        <f t="shared" si="22"/>
        <v>20529</v>
      </c>
      <c r="G44" s="59">
        <f t="shared" ref="G44" si="53">+F44/F$45</f>
        <v>0.20460049632737673</v>
      </c>
      <c r="H44" s="65">
        <f t="shared" si="28"/>
        <v>-407</v>
      </c>
      <c r="I44" s="66">
        <f t="shared" si="29"/>
        <v>-0.2600638977635783</v>
      </c>
      <c r="J44" s="65">
        <f t="shared" si="23"/>
        <v>-407</v>
      </c>
      <c r="K44" s="66">
        <f t="shared" si="30"/>
        <v>-0.30055535148905971</v>
      </c>
      <c r="L44" s="65">
        <f t="shared" si="31"/>
        <v>21768</v>
      </c>
      <c r="M44" s="66">
        <f t="shared" si="32"/>
        <v>0.2026061057334326</v>
      </c>
      <c r="N44" s="65">
        <f t="shared" si="33"/>
        <v>-347</v>
      </c>
      <c r="O44" s="66">
        <f t="shared" si="34"/>
        <v>-0.13507201245620865</v>
      </c>
      <c r="P44" s="65">
        <f t="shared" si="35"/>
        <v>-347</v>
      </c>
      <c r="Q44" s="66">
        <f t="shared" si="36"/>
        <v>-0.1045191825985992</v>
      </c>
      <c r="R44" s="65">
        <f t="shared" si="37"/>
        <v>22583</v>
      </c>
      <c r="S44" s="66">
        <f t="shared" si="38"/>
        <v>0.19274527375922842</v>
      </c>
      <c r="T44" s="65">
        <f t="shared" si="39"/>
        <v>-347</v>
      </c>
      <c r="U44" s="66">
        <f t="shared" si="40"/>
        <v>-0.13507201245620865</v>
      </c>
      <c r="V44" s="65">
        <f t="shared" si="24"/>
        <v>-347</v>
      </c>
      <c r="W44" s="66">
        <f t="shared" si="41"/>
        <v>-0.1045191825985992</v>
      </c>
      <c r="X44" s="65">
        <f t="shared" si="42"/>
        <v>0</v>
      </c>
      <c r="Y44" s="66" t="e">
        <f t="shared" si="43"/>
        <v>#DIV/0!</v>
      </c>
    </row>
    <row r="45" spans="1:32" x14ac:dyDescent="0.25">
      <c r="A45" s="7" t="s">
        <v>0</v>
      </c>
      <c r="B45" s="54">
        <f>SUM(B33:B44)</f>
        <v>493</v>
      </c>
      <c r="C45" s="58">
        <f>+B45/B$45</f>
        <v>1</v>
      </c>
      <c r="D45" s="54">
        <f>SUM(D33:D44)</f>
        <v>303.21251959999995</v>
      </c>
      <c r="E45" s="58">
        <f>+D45/D$45</f>
        <v>1</v>
      </c>
      <c r="F45" s="54">
        <f>SUM(F33:F44)</f>
        <v>100337</v>
      </c>
      <c r="G45" s="58">
        <f>+F45/F$45</f>
        <v>1</v>
      </c>
      <c r="H45" s="67">
        <f t="shared" si="28"/>
        <v>1565</v>
      </c>
      <c r="I45" s="68">
        <f>+H45/H$45</f>
        <v>1</v>
      </c>
      <c r="J45" s="67">
        <f t="shared" si="23"/>
        <v>1354.1598843060856</v>
      </c>
      <c r="K45" s="68">
        <f>+J45/J$45</f>
        <v>1</v>
      </c>
      <c r="L45" s="67">
        <f>SUM(L33:L44)</f>
        <v>107440</v>
      </c>
      <c r="M45" s="68">
        <f>+L45/L$45</f>
        <v>1</v>
      </c>
      <c r="N45" s="67">
        <f t="shared" si="33"/>
        <v>2569</v>
      </c>
      <c r="O45" s="68">
        <f>+N45/N$45</f>
        <v>1</v>
      </c>
      <c r="P45" s="67">
        <f t="shared" si="35"/>
        <v>3319.9647315712036</v>
      </c>
      <c r="Q45" s="68">
        <f>+P45/P$45</f>
        <v>1</v>
      </c>
      <c r="R45" s="67">
        <f>SUM(R33:R44)</f>
        <v>117165</v>
      </c>
      <c r="S45" s="68">
        <f>+R45/R$45</f>
        <v>1</v>
      </c>
      <c r="T45" s="67">
        <f>N20+T20+H20+B20</f>
        <v>2569</v>
      </c>
      <c r="U45" s="68">
        <f>+T45/T$45</f>
        <v>1</v>
      </c>
      <c r="V45" s="67">
        <f t="shared" si="24"/>
        <v>3319.9647315712036</v>
      </c>
      <c r="W45" s="68">
        <f>+V45/V$45</f>
        <v>1</v>
      </c>
      <c r="X45" s="67">
        <f>SUM(X33:X44)</f>
        <v>0</v>
      </c>
      <c r="Y45" s="68" t="e">
        <f>+X45/X$45</f>
        <v>#DIV/0!</v>
      </c>
    </row>
    <row r="46" spans="1:32" x14ac:dyDescent="0.25">
      <c r="A46" s="49"/>
      <c r="B46" s="56"/>
      <c r="C46" s="28"/>
      <c r="D46" s="56"/>
      <c r="E46" s="28"/>
      <c r="F46" s="56"/>
      <c r="G46" s="28"/>
      <c r="H46" s="69"/>
      <c r="I46" s="70"/>
      <c r="J46" s="69"/>
      <c r="K46" s="70"/>
      <c r="L46" s="69"/>
      <c r="M46" s="70"/>
      <c r="N46" s="69"/>
      <c r="O46" s="70"/>
      <c r="P46" s="69"/>
      <c r="Q46" s="70"/>
      <c r="R46" s="69"/>
      <c r="S46" s="70"/>
      <c r="T46" s="69"/>
      <c r="U46" s="70"/>
      <c r="V46" s="69"/>
      <c r="W46" s="70"/>
      <c r="X46" s="69"/>
      <c r="Y46" s="70"/>
    </row>
    <row r="47" spans="1:32" x14ac:dyDescent="0.25">
      <c r="A47" s="45" t="s">
        <v>4</v>
      </c>
      <c r="B47" s="53">
        <f t="shared" ref="B47:B48" si="54">+B22</f>
        <v>-125</v>
      </c>
      <c r="C47" s="30">
        <f>+B47/B$49</f>
        <v>-0.25354969574036512</v>
      </c>
      <c r="D47" s="53">
        <f t="shared" ref="D47:D48" si="55">+D22</f>
        <v>-125.38218270000004</v>
      </c>
      <c r="E47" s="30">
        <f>+D47/D$49</f>
        <v>-0.4135125517422733</v>
      </c>
      <c r="F47" s="53">
        <f>+F22</f>
        <v>51050.847170000001</v>
      </c>
      <c r="G47" s="30">
        <f>+F47/F$49</f>
        <v>0.50879383647109244</v>
      </c>
      <c r="H47" s="61">
        <f t="shared" ref="H47:H49" si="56">B22+H22</f>
        <v>330</v>
      </c>
      <c r="I47" s="71">
        <f>+H47/H$49</f>
        <v>0.2108626198083067</v>
      </c>
      <c r="J47" s="61">
        <f t="shared" ref="J47:J49" si="57">D22+J22</f>
        <v>330.34749455846713</v>
      </c>
      <c r="K47" s="71">
        <f>+J47/J$49</f>
        <v>0.24395014088587305</v>
      </c>
      <c r="L47" s="61">
        <f t="shared" ref="L47:L48" si="58">L22</f>
        <v>50914.915280000001</v>
      </c>
      <c r="M47" s="71">
        <f>+L47/L$49</f>
        <v>0.47389161653015638</v>
      </c>
      <c r="N47" s="61">
        <f t="shared" si="33"/>
        <v>613</v>
      </c>
      <c r="O47" s="71">
        <f>+N47/N$49</f>
        <v>0.23861424678863372</v>
      </c>
      <c r="P47" s="61">
        <f>J22+P22+D22</f>
        <v>612.91773665761548</v>
      </c>
      <c r="Q47" s="71">
        <f>+P47/P$49</f>
        <v>0.18461573727849409</v>
      </c>
      <c r="R47" s="61">
        <f t="shared" ref="R47:R48" si="59">R22</f>
        <v>59789.551290627365</v>
      </c>
      <c r="S47" s="71">
        <f>+R47/R$49</f>
        <v>0.51030214902596649</v>
      </c>
      <c r="T47" s="61">
        <f t="shared" ref="T47:T49" si="60">N22+T22+H22+B22</f>
        <v>613</v>
      </c>
      <c r="U47" s="71">
        <f>+T47/T$49</f>
        <v>0.23861424678863372</v>
      </c>
      <c r="V47" s="61">
        <f t="shared" si="24"/>
        <v>612.91773665761548</v>
      </c>
      <c r="W47" s="71">
        <f>+V47/V$49</f>
        <v>0.18461573727849409</v>
      </c>
      <c r="X47" s="61">
        <f t="shared" ref="X47:X48" si="61">X22</f>
        <v>0</v>
      </c>
      <c r="Y47" s="71" t="e">
        <f>+X47/X$49</f>
        <v>#DIV/0!</v>
      </c>
      <c r="AA47" s="97">
        <f>-'[2]הכנסות מימון'!$G$103/1000</f>
        <v>330.1876234890405</v>
      </c>
      <c r="AB47" s="98">
        <f>H47-AA47</f>
        <v>-0.18762348904050441</v>
      </c>
      <c r="AC47" s="97">
        <f>-'[2]הכנסות מימון'!$G$104/1000</f>
        <v>330.1876234890405</v>
      </c>
      <c r="AD47" s="98">
        <f>J47-AC47</f>
        <v>0.15987106942662876</v>
      </c>
      <c r="AE47" s="97">
        <f>-'[3]הכנסות מימון'!$G$104/1000</f>
        <v>612.90238584133544</v>
      </c>
      <c r="AF47" s="98">
        <f>P47-AE47</f>
        <v>1.5350816280033541E-2</v>
      </c>
    </row>
    <row r="48" spans="1:32" x14ac:dyDescent="0.25">
      <c r="A48" s="46" t="s">
        <v>3</v>
      </c>
      <c r="B48" s="55">
        <f t="shared" si="54"/>
        <v>618</v>
      </c>
      <c r="C48" s="9">
        <f>+B48/B$49</f>
        <v>1.2535496957403651</v>
      </c>
      <c r="D48" s="55">
        <f t="shared" si="55"/>
        <v>428.59470229999999</v>
      </c>
      <c r="E48" s="9">
        <f>+D48/D$49</f>
        <v>1.4135125517422733</v>
      </c>
      <c r="F48" s="55">
        <f>+F23</f>
        <v>49286.152829999999</v>
      </c>
      <c r="G48" s="9">
        <f>+F48/F$49</f>
        <v>0.49120616352890756</v>
      </c>
      <c r="H48" s="65">
        <f t="shared" si="56"/>
        <v>1235</v>
      </c>
      <c r="I48" s="72">
        <f>+H48/H$49</f>
        <v>0.78913738019169333</v>
      </c>
      <c r="J48" s="65">
        <f t="shared" si="57"/>
        <v>1023.8123897476185</v>
      </c>
      <c r="K48" s="72">
        <f>+J48/J$49</f>
        <v>0.75604985911412692</v>
      </c>
      <c r="L48" s="65">
        <f t="shared" si="58"/>
        <v>56525.084719999999</v>
      </c>
      <c r="M48" s="72">
        <f>+L48/L$49</f>
        <v>0.52610838346984368</v>
      </c>
      <c r="N48" s="65">
        <f t="shared" si="33"/>
        <v>1956</v>
      </c>
      <c r="O48" s="72">
        <f>+N48/N$49</f>
        <v>0.76138575321136626</v>
      </c>
      <c r="P48" s="65">
        <f t="shared" ref="P48:P49" si="62">J23+P23+D23</f>
        <v>2707.0469949135886</v>
      </c>
      <c r="Q48" s="72">
        <f>+P48/P$49</f>
        <v>0.8153842627215061</v>
      </c>
      <c r="R48" s="65">
        <f t="shared" si="59"/>
        <v>57375.448709372635</v>
      </c>
      <c r="S48" s="72">
        <f>+R48/R$49</f>
        <v>0.48969785097403351</v>
      </c>
      <c r="T48" s="65">
        <f t="shared" si="60"/>
        <v>1956</v>
      </c>
      <c r="U48" s="72">
        <f>+T48/T$49</f>
        <v>0.76138575321136626</v>
      </c>
      <c r="V48" s="65">
        <f t="shared" si="24"/>
        <v>2707.0469949135886</v>
      </c>
      <c r="W48" s="72">
        <f>+V48/V$49</f>
        <v>0.8153842627215061</v>
      </c>
      <c r="X48" s="65">
        <f t="shared" si="61"/>
        <v>0</v>
      </c>
      <c r="Y48" s="72" t="e">
        <f>+X48/X$49</f>
        <v>#DIV/0!</v>
      </c>
      <c r="AA48" s="97">
        <f>-'[2]הכנסות מימון'!$H$103/1000</f>
        <v>1234.6525054415326</v>
      </c>
      <c r="AB48" s="98">
        <f>H48-AA48</f>
        <v>0.34749455846736055</v>
      </c>
      <c r="AC48" s="97">
        <f>-'[2]הכנסות מימון'!$H$104/1000</f>
        <v>1023.8123897476185</v>
      </c>
      <c r="AD48" s="98">
        <f>J48-AC48</f>
        <v>0</v>
      </c>
      <c r="AE48" s="97">
        <f>-'[3]הכנסות מימון'!$H$104/1000</f>
        <v>2707.0469949135886</v>
      </c>
      <c r="AF48" s="98">
        <f>P48-AE48</f>
        <v>0</v>
      </c>
    </row>
    <row r="49" spans="1:27" x14ac:dyDescent="0.25">
      <c r="A49" s="47" t="s">
        <v>0</v>
      </c>
      <c r="B49" s="54">
        <f>SUM(B47:B48)</f>
        <v>493</v>
      </c>
      <c r="C49" s="57">
        <f>+B49/B$49</f>
        <v>1</v>
      </c>
      <c r="D49" s="54">
        <f>SUM(D47:D48)</f>
        <v>303.21251959999995</v>
      </c>
      <c r="E49" s="57">
        <f>+D49/D$49</f>
        <v>1</v>
      </c>
      <c r="F49" s="54">
        <f>SUM(F47:F48)</f>
        <v>100337</v>
      </c>
      <c r="G49" s="57">
        <f>+F49/F$49</f>
        <v>1</v>
      </c>
      <c r="H49" s="67">
        <f t="shared" si="56"/>
        <v>1565</v>
      </c>
      <c r="I49" s="73">
        <f>+H49/H$49</f>
        <v>1</v>
      </c>
      <c r="J49" s="67">
        <f t="shared" si="57"/>
        <v>1354.1598843060856</v>
      </c>
      <c r="K49" s="73">
        <f>+J49/J$49</f>
        <v>1</v>
      </c>
      <c r="L49" s="67">
        <f>SUM(L47:L48)</f>
        <v>107440</v>
      </c>
      <c r="M49" s="73">
        <f>+L49/L$49</f>
        <v>1</v>
      </c>
      <c r="N49" s="67">
        <f t="shared" si="33"/>
        <v>2569</v>
      </c>
      <c r="O49" s="73">
        <f>+N49/N$49</f>
        <v>1</v>
      </c>
      <c r="P49" s="67">
        <f t="shared" si="62"/>
        <v>3319.9647315712036</v>
      </c>
      <c r="Q49" s="73">
        <f>+P49/P$49</f>
        <v>1</v>
      </c>
      <c r="R49" s="67">
        <f>SUM(R47:R48)</f>
        <v>117165</v>
      </c>
      <c r="S49" s="73">
        <f>+R49/R$49</f>
        <v>1</v>
      </c>
      <c r="T49" s="67">
        <f t="shared" si="60"/>
        <v>2569</v>
      </c>
      <c r="U49" s="73">
        <f>+T49/T$49</f>
        <v>1</v>
      </c>
      <c r="V49" s="67">
        <f t="shared" si="24"/>
        <v>3319.9647315712036</v>
      </c>
      <c r="W49" s="73">
        <f>+V49/V$49</f>
        <v>1</v>
      </c>
      <c r="X49" s="67">
        <f>SUM(X47:X48)</f>
        <v>0</v>
      </c>
      <c r="Y49" s="73" t="e">
        <f>+X49/X$49</f>
        <v>#DIV/0!</v>
      </c>
      <c r="AA49" s="85"/>
    </row>
    <row r="50" spans="1:27" x14ac:dyDescent="0.25">
      <c r="A50" s="41"/>
      <c r="B50" s="60"/>
      <c r="C50" s="43"/>
      <c r="D50" s="60"/>
      <c r="E50" s="43"/>
      <c r="F50" s="60"/>
      <c r="G50" s="43"/>
      <c r="H50" s="74"/>
      <c r="I50" s="75"/>
      <c r="J50" s="74"/>
      <c r="K50" s="75"/>
      <c r="L50" s="74"/>
      <c r="M50" s="75"/>
      <c r="N50" s="74"/>
      <c r="O50" s="75"/>
      <c r="P50" s="74"/>
      <c r="Q50" s="75"/>
      <c r="R50" s="74"/>
      <c r="S50" s="75"/>
      <c r="T50" s="74"/>
      <c r="U50" s="75"/>
      <c r="V50" s="74"/>
      <c r="W50" s="75"/>
      <c r="X50" s="74"/>
      <c r="Y50" s="75"/>
    </row>
    <row r="51" spans="1:27" x14ac:dyDescent="0.25">
      <c r="A51" s="29" t="s">
        <v>2</v>
      </c>
      <c r="B51" s="53">
        <f t="shared" ref="B51:B52" si="63">+B26</f>
        <v>412</v>
      </c>
      <c r="C51" s="30">
        <f>+B51/B$53</f>
        <v>0.83569979716024345</v>
      </c>
      <c r="D51" s="53">
        <f t="shared" ref="D51:D52" si="64">+D26</f>
        <v>222.21251959999995</v>
      </c>
      <c r="E51" s="30">
        <f>+D51/D$53</f>
        <v>0.73286063482188746</v>
      </c>
      <c r="F51" s="53">
        <f t="shared" ref="F51:F52" si="65">+F26</f>
        <v>79808</v>
      </c>
      <c r="G51" s="30">
        <f>+F51/F$53</f>
        <v>0.79539950367262324</v>
      </c>
      <c r="H51" s="61">
        <f t="shared" ref="H51:H53" si="66">B26+H26</f>
        <v>1972</v>
      </c>
      <c r="I51" s="71">
        <f>+H51/H$53</f>
        <v>1.2600638977635783</v>
      </c>
      <c r="J51" s="61">
        <f t="shared" ref="J51:J53" si="67">D26+J26</f>
        <v>1761.1598843060856</v>
      </c>
      <c r="K51" s="71">
        <f>+J51/J$53</f>
        <v>1.3005553514890598</v>
      </c>
      <c r="L51" s="61">
        <f t="shared" ref="L51:L52" si="68">L26</f>
        <v>85672</v>
      </c>
      <c r="M51" s="71">
        <f>+L51/L$53</f>
        <v>0.79739389426656737</v>
      </c>
      <c r="N51" s="61">
        <f t="shared" si="33"/>
        <v>2916</v>
      </c>
      <c r="O51" s="71">
        <f>+N51/N$53</f>
        <v>1.1350720124562086</v>
      </c>
      <c r="P51" s="61">
        <f t="shared" ref="P51:P53" si="69">J26+P26+D26</f>
        <v>3666.9647315712036</v>
      </c>
      <c r="Q51" s="71">
        <f>+P51/P$53</f>
        <v>1.1045191825985992</v>
      </c>
      <c r="R51" s="61">
        <f t="shared" ref="R51:R52" si="70">R26</f>
        <v>94582</v>
      </c>
      <c r="S51" s="71">
        <f>+R51/R$53</f>
        <v>0.80725472624077155</v>
      </c>
      <c r="T51" s="61">
        <f t="shared" ref="T51:T53" si="71">N26+T26+H26+B26</f>
        <v>2916</v>
      </c>
      <c r="U51" s="71">
        <f>+T51/T$53</f>
        <v>1.1350720124562086</v>
      </c>
      <c r="V51" s="61">
        <f t="shared" si="24"/>
        <v>3666.9647315712036</v>
      </c>
      <c r="W51" s="71">
        <f>+V51/V$53</f>
        <v>1.1045191825985992</v>
      </c>
      <c r="X51" s="61">
        <f t="shared" ref="X51:X52" si="72">X26</f>
        <v>0</v>
      </c>
      <c r="Y51" s="71" t="e">
        <f>+X51/X$53</f>
        <v>#DIV/0!</v>
      </c>
    </row>
    <row r="52" spans="1:27" x14ac:dyDescent="0.25">
      <c r="A52" s="34" t="s">
        <v>1</v>
      </c>
      <c r="B52" s="55">
        <f t="shared" si="63"/>
        <v>81</v>
      </c>
      <c r="C52" s="9">
        <f>+B52/B$53</f>
        <v>0.1643002028397566</v>
      </c>
      <c r="D52" s="55">
        <f t="shared" si="64"/>
        <v>81</v>
      </c>
      <c r="E52" s="9">
        <f>+D52/D$53</f>
        <v>0.26713936517811254</v>
      </c>
      <c r="F52" s="55">
        <f t="shared" si="65"/>
        <v>20529</v>
      </c>
      <c r="G52" s="9">
        <f>+F52/F$53</f>
        <v>0.20460049632737673</v>
      </c>
      <c r="H52" s="65">
        <f t="shared" si="66"/>
        <v>-407</v>
      </c>
      <c r="I52" s="72">
        <f>+H52/H$53</f>
        <v>-0.2600638977635783</v>
      </c>
      <c r="J52" s="65">
        <f t="shared" si="67"/>
        <v>-407</v>
      </c>
      <c r="K52" s="72">
        <f>+J52/J$53</f>
        <v>-0.30055535148905971</v>
      </c>
      <c r="L52" s="65">
        <f t="shared" si="68"/>
        <v>21768</v>
      </c>
      <c r="M52" s="72">
        <f>+L52/L$53</f>
        <v>0.2026061057334326</v>
      </c>
      <c r="N52" s="65">
        <f>H27+N27+B27</f>
        <v>-347</v>
      </c>
      <c r="O52" s="72">
        <f>+N52/N$53</f>
        <v>-0.13507201245620865</v>
      </c>
      <c r="P52" s="65">
        <f t="shared" si="69"/>
        <v>-347</v>
      </c>
      <c r="Q52" s="72">
        <f>+P52/P$53</f>
        <v>-0.1045191825985992</v>
      </c>
      <c r="R52" s="65">
        <f t="shared" si="70"/>
        <v>22583</v>
      </c>
      <c r="S52" s="72">
        <f>+R52/R$53</f>
        <v>0.19274527375922842</v>
      </c>
      <c r="T52" s="65">
        <f t="shared" si="71"/>
        <v>-347</v>
      </c>
      <c r="U52" s="72">
        <f>+T52/T$53</f>
        <v>-0.13507201245620865</v>
      </c>
      <c r="V52" s="65">
        <f t="shared" si="24"/>
        <v>-347</v>
      </c>
      <c r="W52" s="72">
        <f>+V52/V$53</f>
        <v>-0.1045191825985992</v>
      </c>
      <c r="X52" s="65">
        <f t="shared" si="72"/>
        <v>0</v>
      </c>
      <c r="Y52" s="72" t="e">
        <f>+X52/X$53</f>
        <v>#DIV/0!</v>
      </c>
    </row>
    <row r="53" spans="1:27" x14ac:dyDescent="0.25">
      <c r="A53" s="37" t="s">
        <v>0</v>
      </c>
      <c r="B53" s="54">
        <f>SUM(B51:B52)</f>
        <v>493</v>
      </c>
      <c r="C53" s="57">
        <f>+B53/B$53</f>
        <v>1</v>
      </c>
      <c r="D53" s="54">
        <f>SUM(D51:D52)</f>
        <v>303.21251959999995</v>
      </c>
      <c r="E53" s="57">
        <f>+D53/D$53</f>
        <v>1</v>
      </c>
      <c r="F53" s="54">
        <f>SUM(F51:F52)</f>
        <v>100337</v>
      </c>
      <c r="G53" s="57">
        <f>+F53/F$53</f>
        <v>1</v>
      </c>
      <c r="H53" s="67">
        <f t="shared" si="66"/>
        <v>1565</v>
      </c>
      <c r="I53" s="73">
        <f>+H53/H$53</f>
        <v>1</v>
      </c>
      <c r="J53" s="67">
        <f t="shared" si="67"/>
        <v>1354.1598843060856</v>
      </c>
      <c r="K53" s="73">
        <f>+J53/J$53</f>
        <v>1</v>
      </c>
      <c r="L53" s="67">
        <f>SUM(L51:L52)</f>
        <v>107440</v>
      </c>
      <c r="M53" s="73">
        <f>+L53/L$53</f>
        <v>1</v>
      </c>
      <c r="N53" s="67">
        <f t="shared" si="33"/>
        <v>2569</v>
      </c>
      <c r="O53" s="73">
        <f>+N53/N$53</f>
        <v>1</v>
      </c>
      <c r="P53" s="67">
        <f t="shared" si="69"/>
        <v>3319.9647315712036</v>
      </c>
      <c r="Q53" s="73">
        <f>+P53/P$53</f>
        <v>1</v>
      </c>
      <c r="R53" s="67">
        <f>SUM(R51:R52)</f>
        <v>117165</v>
      </c>
      <c r="S53" s="73">
        <f>+R53/R$53</f>
        <v>1</v>
      </c>
      <c r="T53" s="67">
        <f t="shared" si="71"/>
        <v>2569</v>
      </c>
      <c r="U53" s="73">
        <f>+T53/T$53</f>
        <v>1</v>
      </c>
      <c r="V53" s="67">
        <f t="shared" si="24"/>
        <v>3319.9647315712036</v>
      </c>
      <c r="W53" s="73">
        <f>+V53/V$53</f>
        <v>1</v>
      </c>
      <c r="X53" s="67">
        <f>SUM(X51:X52)</f>
        <v>0</v>
      </c>
      <c r="Y53" s="73" t="e">
        <f>+X53/X$53</f>
        <v>#DIV/0!</v>
      </c>
    </row>
    <row r="54" spans="1:27" x14ac:dyDescent="0.25"/>
    <row r="55" spans="1:27" x14ac:dyDescent="0.25"/>
    <row r="56" spans="1:27" x14ac:dyDescent="0.25"/>
    <row r="57" spans="1:27" x14ac:dyDescent="0.25"/>
    <row r="58" spans="1:27" x14ac:dyDescent="0.25">
      <c r="H58" s="87">
        <f>+H53-H28-B28</f>
        <v>0</v>
      </c>
      <c r="J58" s="87">
        <f>+J53-J28-D28</f>
        <v>0</v>
      </c>
    </row>
  </sheetData>
  <mergeCells count="35">
    <mergeCell ref="B3:G3"/>
    <mergeCell ref="B5:G5"/>
    <mergeCell ref="H5:M5"/>
    <mergeCell ref="N5:S5"/>
    <mergeCell ref="T5:Y5"/>
    <mergeCell ref="X6:Y6"/>
    <mergeCell ref="L6:M6"/>
    <mergeCell ref="N6:O6"/>
    <mergeCell ref="P6:Q6"/>
    <mergeCell ref="R6:S6"/>
    <mergeCell ref="T6:U6"/>
    <mergeCell ref="V6:W6"/>
    <mergeCell ref="A6:A7"/>
    <mergeCell ref="A31:A32"/>
    <mergeCell ref="B30:G30"/>
    <mergeCell ref="H30:M30"/>
    <mergeCell ref="N30:S30"/>
    <mergeCell ref="B6:C6"/>
    <mergeCell ref="D6:E6"/>
    <mergeCell ref="F6:G6"/>
    <mergeCell ref="H6:I6"/>
    <mergeCell ref="J6:K6"/>
    <mergeCell ref="T30:Y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</mergeCells>
  <dataValidations disablePrompts="1" count="1">
    <dataValidation type="list" allowBlank="1" showInputMessage="1" showErrorMessage="1" sqref="A6 A31" xr:uid="{00000000-0002-0000-0000-000000000000}">
      <formula1>Years</formula1>
    </dataValidation>
  </dataValidations>
  <pageMargins left="0" right="0" top="0" bottom="0.35433070866141736" header="0" footer="0.11811023622047245"/>
  <pageSetup paperSize="9" scale="70" orientation="landscape" r:id="rId1"/>
  <headerFooter>
    <oddFooter>&amp;L&amp;Z&amp;F&amp;A</oddFooter>
  </headerFooter>
  <ignoredErrors>
    <ignoredError sqref="H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4"/>
  <sheetViews>
    <sheetView showGridLines="0" rightToLeft="1" zoomScale="80" zoomScaleNormal="80" workbookViewId="0">
      <selection activeCell="A55" sqref="A55:XFD1048576"/>
    </sheetView>
  </sheetViews>
  <sheetFormatPr defaultColWidth="0" defaultRowHeight="15" zeroHeight="1" x14ac:dyDescent="0.25"/>
  <cols>
    <col min="1" max="1" width="22.85546875" style="26" customWidth="1"/>
    <col min="2" max="2" width="9.28515625" style="26" customWidth="1"/>
    <col min="3" max="3" width="8.140625" style="26" customWidth="1"/>
    <col min="4" max="4" width="9.28515625" style="26" customWidth="1"/>
    <col min="5" max="5" width="8.5703125" style="26" customWidth="1"/>
    <col min="6" max="6" width="10.85546875" style="26" customWidth="1"/>
    <col min="7" max="7" width="8.42578125" style="26" customWidth="1"/>
    <col min="8" max="8" width="8.7109375" style="26" customWidth="1"/>
    <col min="9" max="11" width="9.140625" style="26" customWidth="1"/>
    <col min="12" max="12" width="9.85546875" style="26" bestFit="1" customWidth="1"/>
    <col min="13" max="13" width="9.140625" style="26" customWidth="1"/>
    <col min="14" max="14" width="8.5703125" style="26" customWidth="1"/>
    <col min="15" max="15" width="9.140625" style="26" customWidth="1"/>
    <col min="16" max="16" width="8.5703125" style="26" customWidth="1"/>
    <col min="17" max="17" width="9.140625" style="26" customWidth="1"/>
    <col min="18" max="18" width="9.85546875" style="26" bestFit="1" customWidth="1"/>
    <col min="19" max="23" width="9.140625" style="26" customWidth="1"/>
    <col min="24" max="24" width="9.85546875" style="26" bestFit="1" customWidth="1"/>
    <col min="25" max="28" width="9.140625" style="26" customWidth="1"/>
    <col min="29" max="29" width="0" style="26" hidden="1"/>
    <col min="30" max="16384" width="9.140625" style="26" hidden="1"/>
  </cols>
  <sheetData>
    <row r="1" spans="1:28" x14ac:dyDescent="0.25">
      <c r="A1" s="80" t="s">
        <v>32</v>
      </c>
    </row>
    <row r="2" spans="1:28" x14ac:dyDescent="0.25">
      <c r="A2" s="81" t="s">
        <v>36</v>
      </c>
    </row>
    <row r="3" spans="1:28" x14ac:dyDescent="0.25">
      <c r="A3" s="80" t="s">
        <v>31</v>
      </c>
      <c r="B3" s="82" t="s">
        <v>30</v>
      </c>
      <c r="C3" s="82"/>
      <c r="D3" s="82"/>
      <c r="E3" s="82"/>
      <c r="F3" s="82"/>
      <c r="G3" s="82"/>
    </row>
    <row r="4" spans="1:28" x14ac:dyDescent="0.25">
      <c r="A4" s="41"/>
      <c r="B4" s="76"/>
      <c r="C4" s="49"/>
      <c r="D4" s="49"/>
      <c r="E4" s="49"/>
      <c r="F4" s="49"/>
      <c r="G4" s="49"/>
    </row>
    <row r="5" spans="1:28" x14ac:dyDescent="0.25"/>
    <row r="6" spans="1:28" x14ac:dyDescent="0.25">
      <c r="A6" s="48" t="s">
        <v>29</v>
      </c>
      <c r="B6" s="116" t="s">
        <v>25</v>
      </c>
      <c r="C6" s="117"/>
      <c r="D6" s="117"/>
      <c r="E6" s="117"/>
      <c r="F6" s="117"/>
      <c r="G6" s="118"/>
      <c r="H6" s="116" t="s">
        <v>28</v>
      </c>
      <c r="I6" s="117"/>
      <c r="J6" s="117"/>
      <c r="K6" s="117"/>
      <c r="L6" s="117"/>
      <c r="M6" s="118"/>
      <c r="N6" s="116" t="s">
        <v>27</v>
      </c>
      <c r="O6" s="117"/>
      <c r="P6" s="117"/>
      <c r="Q6" s="117"/>
      <c r="R6" s="117"/>
      <c r="S6" s="118"/>
      <c r="T6" s="116" t="s">
        <v>26</v>
      </c>
      <c r="U6" s="117"/>
      <c r="V6" s="117"/>
      <c r="W6" s="117"/>
      <c r="X6" s="117"/>
      <c r="Y6" s="118"/>
      <c r="AB6" s="26">
        <v>2015</v>
      </c>
    </row>
    <row r="7" spans="1:28" ht="27.75" customHeight="1" x14ac:dyDescent="0.25">
      <c r="A7" s="107">
        <v>2020</v>
      </c>
      <c r="B7" s="110" t="s">
        <v>21</v>
      </c>
      <c r="C7" s="111"/>
      <c r="D7" s="111" t="s">
        <v>20</v>
      </c>
      <c r="E7" s="111"/>
      <c r="F7" s="111" t="s">
        <v>19</v>
      </c>
      <c r="G7" s="112"/>
      <c r="H7" s="110" t="s">
        <v>21</v>
      </c>
      <c r="I7" s="111"/>
      <c r="J7" s="111" t="s">
        <v>20</v>
      </c>
      <c r="K7" s="111"/>
      <c r="L7" s="111" t="s">
        <v>19</v>
      </c>
      <c r="M7" s="112"/>
      <c r="N7" s="110" t="s">
        <v>21</v>
      </c>
      <c r="O7" s="111"/>
      <c r="P7" s="111" t="s">
        <v>20</v>
      </c>
      <c r="Q7" s="111"/>
      <c r="R7" s="111" t="s">
        <v>19</v>
      </c>
      <c r="S7" s="112"/>
      <c r="T7" s="110" t="s">
        <v>21</v>
      </c>
      <c r="U7" s="111"/>
      <c r="V7" s="111" t="s">
        <v>20</v>
      </c>
      <c r="W7" s="111"/>
      <c r="X7" s="111" t="s">
        <v>19</v>
      </c>
      <c r="Y7" s="112"/>
      <c r="AB7" s="26">
        <f>AB6+1</f>
        <v>2016</v>
      </c>
    </row>
    <row r="8" spans="1:28" ht="21" customHeight="1" x14ac:dyDescent="0.25">
      <c r="A8" s="108"/>
      <c r="B8" s="50" t="s">
        <v>18</v>
      </c>
      <c r="C8" s="51" t="s">
        <v>17</v>
      </c>
      <c r="D8" s="51" t="s">
        <v>18</v>
      </c>
      <c r="E8" s="51" t="s">
        <v>17</v>
      </c>
      <c r="F8" s="51" t="s">
        <v>18</v>
      </c>
      <c r="G8" s="52" t="s">
        <v>17</v>
      </c>
      <c r="H8" s="50" t="s">
        <v>18</v>
      </c>
      <c r="I8" s="51" t="s">
        <v>17</v>
      </c>
      <c r="J8" s="51" t="s">
        <v>18</v>
      </c>
      <c r="K8" s="51" t="s">
        <v>17</v>
      </c>
      <c r="L8" s="51" t="s">
        <v>18</v>
      </c>
      <c r="M8" s="52" t="s">
        <v>17</v>
      </c>
      <c r="N8" s="50" t="s">
        <v>18</v>
      </c>
      <c r="O8" s="51" t="s">
        <v>17</v>
      </c>
      <c r="P8" s="51" t="s">
        <v>18</v>
      </c>
      <c r="Q8" s="51" t="s">
        <v>17</v>
      </c>
      <c r="R8" s="51" t="s">
        <v>18</v>
      </c>
      <c r="S8" s="52" t="s">
        <v>17</v>
      </c>
      <c r="T8" s="50" t="s">
        <v>18</v>
      </c>
      <c r="U8" s="51" t="s">
        <v>17</v>
      </c>
      <c r="V8" s="51" t="s">
        <v>18</v>
      </c>
      <c r="W8" s="51" t="s">
        <v>17</v>
      </c>
      <c r="X8" s="51" t="s">
        <v>18</v>
      </c>
      <c r="Y8" s="52" t="s">
        <v>17</v>
      </c>
      <c r="AB8" s="26">
        <f>AB7+1</f>
        <v>2017</v>
      </c>
    </row>
    <row r="9" spans="1:28" x14ac:dyDescent="0.25">
      <c r="A9" s="22" t="s">
        <v>16</v>
      </c>
      <c r="B9" s="21"/>
      <c r="C9" s="20"/>
      <c r="D9" s="21"/>
      <c r="E9" s="20"/>
      <c r="F9" s="21"/>
      <c r="G9" s="44"/>
      <c r="H9" s="18"/>
      <c r="I9" s="17"/>
      <c r="J9" s="18"/>
      <c r="K9" s="17"/>
      <c r="L9" s="18"/>
      <c r="M9" s="16"/>
      <c r="N9" s="21"/>
      <c r="O9" s="20"/>
      <c r="P9" s="21"/>
      <c r="Q9" s="20"/>
      <c r="R9" s="21"/>
      <c r="S9" s="44"/>
      <c r="T9" s="18"/>
      <c r="U9" s="17"/>
      <c r="V9" s="18"/>
      <c r="W9" s="17"/>
      <c r="X9" s="18"/>
      <c r="Y9" s="16"/>
      <c r="AB9" s="26">
        <f>AB8+1</f>
        <v>2018</v>
      </c>
    </row>
    <row r="10" spans="1:28" x14ac:dyDescent="0.25">
      <c r="A10" s="15" t="s">
        <v>15</v>
      </c>
      <c r="B10" s="14"/>
      <c r="C10" s="13"/>
      <c r="D10" s="14"/>
      <c r="E10" s="13"/>
      <c r="F10" s="14"/>
      <c r="G10" s="19"/>
      <c r="H10" s="12"/>
      <c r="I10" s="11"/>
      <c r="J10" s="12"/>
      <c r="K10" s="11"/>
      <c r="L10" s="12"/>
      <c r="M10" s="10"/>
      <c r="N10" s="14"/>
      <c r="O10" s="13"/>
      <c r="P10" s="14"/>
      <c r="Q10" s="13"/>
      <c r="R10" s="14"/>
      <c r="S10" s="19"/>
      <c r="T10" s="12"/>
      <c r="U10" s="11"/>
      <c r="V10" s="12"/>
      <c r="W10" s="11"/>
      <c r="X10" s="12"/>
      <c r="Y10" s="10"/>
      <c r="AB10" s="26">
        <f>AB9+1</f>
        <v>2019</v>
      </c>
    </row>
    <row r="11" spans="1:28" x14ac:dyDescent="0.25">
      <c r="A11" s="15" t="s">
        <v>14</v>
      </c>
      <c r="B11" s="14"/>
      <c r="C11" s="13"/>
      <c r="D11" s="14"/>
      <c r="E11" s="13"/>
      <c r="F11" s="14"/>
      <c r="G11" s="19"/>
      <c r="H11" s="12"/>
      <c r="I11" s="11"/>
      <c r="J11" s="12"/>
      <c r="K11" s="11"/>
      <c r="L11" s="12"/>
      <c r="M11" s="10"/>
      <c r="N11" s="14"/>
      <c r="O11" s="13"/>
      <c r="P11" s="14"/>
      <c r="Q11" s="13"/>
      <c r="R11" s="14"/>
      <c r="S11" s="19"/>
      <c r="T11" s="12"/>
      <c r="U11" s="11"/>
      <c r="V11" s="12"/>
      <c r="W11" s="11"/>
      <c r="X11" s="12"/>
      <c r="Y11" s="10"/>
      <c r="AB11" s="26">
        <f>AB10+1</f>
        <v>2020</v>
      </c>
    </row>
    <row r="12" spans="1:28" x14ac:dyDescent="0.25">
      <c r="A12" s="15" t="s">
        <v>13</v>
      </c>
      <c r="B12" s="14"/>
      <c r="C12" s="13"/>
      <c r="D12" s="14"/>
      <c r="E12" s="13"/>
      <c r="F12" s="14"/>
      <c r="G12" s="19"/>
      <c r="H12" s="12"/>
      <c r="I12" s="11"/>
      <c r="J12" s="12"/>
      <c r="K12" s="11"/>
      <c r="L12" s="12"/>
      <c r="M12" s="10"/>
      <c r="N12" s="14"/>
      <c r="O12" s="13"/>
      <c r="P12" s="14"/>
      <c r="Q12" s="13"/>
      <c r="R12" s="14"/>
      <c r="S12" s="19"/>
      <c r="T12" s="12"/>
      <c r="U12" s="11"/>
      <c r="V12" s="12"/>
      <c r="W12" s="11"/>
      <c r="X12" s="12"/>
      <c r="Y12" s="10"/>
      <c r="AB12" s="26">
        <v>2021</v>
      </c>
    </row>
    <row r="13" spans="1:28" x14ac:dyDescent="0.25">
      <c r="A13" s="15" t="s">
        <v>12</v>
      </c>
      <c r="B13" s="14"/>
      <c r="C13" s="13"/>
      <c r="D13" s="14"/>
      <c r="E13" s="13"/>
      <c r="F13" s="14"/>
      <c r="G13" s="19"/>
      <c r="H13" s="12"/>
      <c r="I13" s="11"/>
      <c r="J13" s="12"/>
      <c r="K13" s="11"/>
      <c r="L13" s="12"/>
      <c r="M13" s="10"/>
      <c r="N13" s="14"/>
      <c r="O13" s="13"/>
      <c r="P13" s="14"/>
      <c r="Q13" s="13"/>
      <c r="R13" s="14"/>
      <c r="S13" s="19"/>
      <c r="T13" s="12"/>
      <c r="U13" s="11"/>
      <c r="V13" s="12"/>
      <c r="W13" s="11"/>
      <c r="X13" s="12"/>
      <c r="Y13" s="10"/>
      <c r="AB13" s="26">
        <v>2022</v>
      </c>
    </row>
    <row r="14" spans="1:28" x14ac:dyDescent="0.25">
      <c r="A14" s="15" t="s">
        <v>11</v>
      </c>
      <c r="B14" s="14"/>
      <c r="C14" s="13"/>
      <c r="D14" s="14"/>
      <c r="E14" s="13"/>
      <c r="F14" s="14"/>
      <c r="G14" s="19"/>
      <c r="H14" s="12"/>
      <c r="I14" s="11"/>
      <c r="J14" s="12"/>
      <c r="K14" s="11"/>
      <c r="L14" s="12"/>
      <c r="M14" s="10"/>
      <c r="N14" s="14"/>
      <c r="O14" s="13"/>
      <c r="P14" s="14"/>
      <c r="Q14" s="13"/>
      <c r="R14" s="14"/>
      <c r="S14" s="19"/>
      <c r="T14" s="12"/>
      <c r="U14" s="11"/>
      <c r="V14" s="12"/>
      <c r="W14" s="11"/>
      <c r="X14" s="12"/>
      <c r="Y14" s="10"/>
      <c r="AB14" s="26">
        <v>2023</v>
      </c>
    </row>
    <row r="15" spans="1:28" x14ac:dyDescent="0.25">
      <c r="A15" s="15" t="s">
        <v>10</v>
      </c>
      <c r="B15" s="14"/>
      <c r="C15" s="13"/>
      <c r="D15" s="14"/>
      <c r="E15" s="13"/>
      <c r="F15" s="14"/>
      <c r="G15" s="19"/>
      <c r="H15" s="12"/>
      <c r="I15" s="11"/>
      <c r="J15" s="12"/>
      <c r="K15" s="11"/>
      <c r="L15" s="12"/>
      <c r="M15" s="10"/>
      <c r="N15" s="14"/>
      <c r="O15" s="13"/>
      <c r="P15" s="14"/>
      <c r="Q15" s="13"/>
      <c r="R15" s="14"/>
      <c r="S15" s="19"/>
      <c r="T15" s="12"/>
      <c r="U15" s="11"/>
      <c r="V15" s="12"/>
      <c r="W15" s="11"/>
      <c r="X15" s="12"/>
      <c r="Y15" s="10"/>
      <c r="AB15" s="26">
        <v>2024</v>
      </c>
    </row>
    <row r="16" spans="1:28" x14ac:dyDescent="0.25">
      <c r="A16" s="15" t="s">
        <v>9</v>
      </c>
      <c r="B16" s="14"/>
      <c r="C16" s="13"/>
      <c r="D16" s="14"/>
      <c r="E16" s="13"/>
      <c r="F16" s="14"/>
      <c r="G16" s="19"/>
      <c r="H16" s="12"/>
      <c r="I16" s="11"/>
      <c r="J16" s="12"/>
      <c r="K16" s="11"/>
      <c r="L16" s="12"/>
      <c r="M16" s="10"/>
      <c r="N16" s="14"/>
      <c r="O16" s="13"/>
      <c r="P16" s="14"/>
      <c r="Q16" s="13"/>
      <c r="R16" s="14"/>
      <c r="S16" s="19"/>
      <c r="T16" s="12"/>
      <c r="U16" s="11"/>
      <c r="V16" s="12"/>
      <c r="W16" s="11"/>
      <c r="X16" s="12"/>
      <c r="Y16" s="10"/>
      <c r="AB16" s="26">
        <v>2025</v>
      </c>
    </row>
    <row r="17" spans="1:28" x14ac:dyDescent="0.25">
      <c r="A17" s="15" t="s">
        <v>8</v>
      </c>
      <c r="B17" s="14"/>
      <c r="C17" s="13"/>
      <c r="D17" s="14"/>
      <c r="E17" s="13"/>
      <c r="F17" s="14"/>
      <c r="G17" s="19"/>
      <c r="H17" s="12"/>
      <c r="I17" s="11"/>
      <c r="J17" s="12"/>
      <c r="K17" s="11"/>
      <c r="L17" s="12"/>
      <c r="M17" s="10"/>
      <c r="N17" s="14"/>
      <c r="O17" s="13"/>
      <c r="P17" s="14"/>
      <c r="Q17" s="13"/>
      <c r="R17" s="14"/>
      <c r="S17" s="19"/>
      <c r="T17" s="12"/>
      <c r="U17" s="11"/>
      <c r="V17" s="12"/>
      <c r="W17" s="11"/>
      <c r="X17" s="12"/>
      <c r="Y17" s="10"/>
      <c r="AB17" s="26">
        <v>2026</v>
      </c>
    </row>
    <row r="18" spans="1:28" x14ac:dyDescent="0.25">
      <c r="A18" s="15" t="s">
        <v>7</v>
      </c>
      <c r="B18" s="14"/>
      <c r="C18" s="13"/>
      <c r="D18" s="14"/>
      <c r="E18" s="13"/>
      <c r="F18" s="14"/>
      <c r="G18" s="19"/>
      <c r="H18" s="12"/>
      <c r="I18" s="11"/>
      <c r="J18" s="12"/>
      <c r="K18" s="11"/>
      <c r="L18" s="12"/>
      <c r="M18" s="10"/>
      <c r="N18" s="14"/>
      <c r="O18" s="13"/>
      <c r="P18" s="14"/>
      <c r="Q18" s="13"/>
      <c r="R18" s="14"/>
      <c r="S18" s="19"/>
      <c r="T18" s="12"/>
      <c r="U18" s="11"/>
      <c r="V18" s="12"/>
      <c r="W18" s="11"/>
      <c r="X18" s="12"/>
      <c r="Y18" s="10"/>
    </row>
    <row r="19" spans="1:28" x14ac:dyDescent="0.25">
      <c r="A19" s="15" t="s">
        <v>6</v>
      </c>
      <c r="B19" s="14"/>
      <c r="C19" s="13"/>
      <c r="D19" s="14"/>
      <c r="E19" s="13"/>
      <c r="F19" s="14"/>
      <c r="G19" s="9"/>
      <c r="H19" s="12"/>
      <c r="I19" s="11"/>
      <c r="J19" s="12"/>
      <c r="K19" s="11"/>
      <c r="L19" s="12"/>
      <c r="M19" s="8"/>
      <c r="N19" s="14"/>
      <c r="O19" s="13"/>
      <c r="P19" s="14"/>
      <c r="Q19" s="13"/>
      <c r="R19" s="14"/>
      <c r="S19" s="9"/>
      <c r="T19" s="12"/>
      <c r="U19" s="11"/>
      <c r="V19" s="12"/>
      <c r="W19" s="11"/>
      <c r="X19" s="12"/>
      <c r="Y19" s="8"/>
    </row>
    <row r="20" spans="1:28" x14ac:dyDescent="0.25">
      <c r="A20" s="15" t="s">
        <v>5</v>
      </c>
      <c r="B20" s="14"/>
      <c r="C20" s="13"/>
      <c r="D20" s="14"/>
      <c r="E20" s="13"/>
      <c r="F20" s="14"/>
      <c r="G20" s="19"/>
      <c r="H20" s="12"/>
      <c r="I20" s="11"/>
      <c r="J20" s="12"/>
      <c r="K20" s="11"/>
      <c r="L20" s="12"/>
      <c r="M20" s="10"/>
      <c r="N20" s="14"/>
      <c r="O20" s="13"/>
      <c r="P20" s="14"/>
      <c r="Q20" s="13"/>
      <c r="R20" s="14"/>
      <c r="S20" s="19"/>
      <c r="T20" s="12"/>
      <c r="U20" s="11"/>
      <c r="V20" s="12"/>
      <c r="W20" s="11"/>
      <c r="X20" s="12"/>
      <c r="Y20" s="10"/>
    </row>
    <row r="21" spans="1:28" x14ac:dyDescent="0.25">
      <c r="A21" s="7" t="s">
        <v>0</v>
      </c>
      <c r="B21" s="6"/>
      <c r="C21" s="3"/>
      <c r="D21" s="6"/>
      <c r="E21" s="3"/>
      <c r="F21" s="6"/>
      <c r="G21" s="5"/>
      <c r="H21" s="1"/>
      <c r="I21" s="2"/>
      <c r="J21" s="1"/>
      <c r="K21" s="2"/>
      <c r="L21" s="1"/>
      <c r="M21" s="4"/>
      <c r="N21" s="6"/>
      <c r="O21" s="3"/>
      <c r="P21" s="6"/>
      <c r="Q21" s="3"/>
      <c r="R21" s="6"/>
      <c r="S21" s="5"/>
      <c r="T21" s="1"/>
      <c r="U21" s="2"/>
      <c r="V21" s="1"/>
      <c r="W21" s="2"/>
      <c r="X21" s="1"/>
      <c r="Y21" s="4"/>
    </row>
    <row r="22" spans="1:28" x14ac:dyDescent="0.25">
      <c r="A22" s="49"/>
      <c r="B22" s="27"/>
      <c r="C22" s="28"/>
      <c r="D22" s="27"/>
      <c r="E22" s="28"/>
      <c r="F22" s="27"/>
      <c r="G22" s="28"/>
      <c r="H22" s="27"/>
      <c r="I22" s="28"/>
      <c r="J22" s="27"/>
      <c r="K22" s="28"/>
      <c r="L22" s="27"/>
      <c r="M22" s="28"/>
      <c r="N22" s="27"/>
      <c r="O22" s="28"/>
      <c r="P22" s="27"/>
      <c r="Q22" s="28"/>
      <c r="R22" s="27"/>
      <c r="S22" s="28"/>
      <c r="T22" s="27"/>
      <c r="U22" s="28"/>
      <c r="V22" s="27"/>
      <c r="W22" s="28"/>
      <c r="X22" s="27"/>
      <c r="Y22" s="28"/>
    </row>
    <row r="23" spans="1:28" x14ac:dyDescent="0.25">
      <c r="A23" s="29" t="s">
        <v>4</v>
      </c>
      <c r="B23" s="21"/>
      <c r="C23" s="30"/>
      <c r="D23" s="21"/>
      <c r="E23" s="30"/>
      <c r="F23" s="31"/>
      <c r="G23" s="30"/>
      <c r="H23" s="18"/>
      <c r="I23" s="32"/>
      <c r="J23" s="18"/>
      <c r="K23" s="32"/>
      <c r="L23" s="33"/>
      <c r="M23" s="32"/>
      <c r="N23" s="21"/>
      <c r="O23" s="30"/>
      <c r="P23" s="21"/>
      <c r="Q23" s="30"/>
      <c r="R23" s="31"/>
      <c r="S23" s="30"/>
      <c r="T23" s="18"/>
      <c r="U23" s="32"/>
      <c r="V23" s="18"/>
      <c r="W23" s="32"/>
      <c r="X23" s="33"/>
      <c r="Y23" s="32"/>
    </row>
    <row r="24" spans="1:28" x14ac:dyDescent="0.25">
      <c r="A24" s="34" t="s">
        <v>3</v>
      </c>
      <c r="B24" s="14"/>
      <c r="C24" s="9"/>
      <c r="D24" s="14"/>
      <c r="E24" s="9"/>
      <c r="F24" s="35"/>
      <c r="G24" s="9"/>
      <c r="H24" s="12"/>
      <c r="I24" s="8"/>
      <c r="J24" s="12"/>
      <c r="K24" s="8"/>
      <c r="L24" s="36"/>
      <c r="M24" s="8"/>
      <c r="N24" s="14"/>
      <c r="O24" s="9"/>
      <c r="P24" s="14"/>
      <c r="Q24" s="9"/>
      <c r="R24" s="35"/>
      <c r="S24" s="9"/>
      <c r="T24" s="12"/>
      <c r="U24" s="8"/>
      <c r="V24" s="12"/>
      <c r="W24" s="8"/>
      <c r="X24" s="36"/>
      <c r="Y24" s="8"/>
    </row>
    <row r="25" spans="1:28" x14ac:dyDescent="0.25">
      <c r="A25" s="37" t="s">
        <v>0</v>
      </c>
      <c r="B25" s="77"/>
      <c r="C25" s="78"/>
      <c r="D25" s="77"/>
      <c r="E25" s="78"/>
      <c r="F25" s="79"/>
      <c r="G25" s="78"/>
      <c r="H25" s="38"/>
      <c r="I25" s="39"/>
      <c r="J25" s="38"/>
      <c r="K25" s="39"/>
      <c r="L25" s="40"/>
      <c r="M25" s="39"/>
      <c r="N25" s="77"/>
      <c r="O25" s="78"/>
      <c r="P25" s="77"/>
      <c r="Q25" s="78"/>
      <c r="R25" s="79"/>
      <c r="S25" s="78"/>
      <c r="T25" s="38"/>
      <c r="U25" s="39"/>
      <c r="V25" s="38"/>
      <c r="W25" s="39"/>
      <c r="X25" s="40"/>
      <c r="Y25" s="39"/>
    </row>
    <row r="26" spans="1:28" x14ac:dyDescent="0.25">
      <c r="A26" s="41"/>
      <c r="B26" s="42"/>
      <c r="C26" s="43"/>
      <c r="D26" s="42"/>
      <c r="E26" s="43"/>
      <c r="F26" s="42"/>
      <c r="G26" s="43"/>
      <c r="H26" s="42"/>
      <c r="I26" s="43"/>
      <c r="J26" s="42"/>
      <c r="K26" s="43"/>
      <c r="L26" s="42"/>
      <c r="M26" s="43"/>
      <c r="N26" s="42"/>
      <c r="O26" s="43"/>
      <c r="P26" s="42"/>
      <c r="Q26" s="43"/>
      <c r="R26" s="42"/>
      <c r="S26" s="43"/>
      <c r="T26" s="42"/>
      <c r="U26" s="43"/>
      <c r="V26" s="42"/>
      <c r="W26" s="43"/>
      <c r="X26" s="42"/>
      <c r="Y26" s="43"/>
    </row>
    <row r="27" spans="1:28" x14ac:dyDescent="0.25">
      <c r="A27" s="29" t="s">
        <v>2</v>
      </c>
      <c r="B27" s="21"/>
      <c r="C27" s="30"/>
      <c r="D27" s="21"/>
      <c r="E27" s="30"/>
      <c r="F27" s="31"/>
      <c r="G27" s="30"/>
      <c r="H27" s="18"/>
      <c r="I27" s="32"/>
      <c r="J27" s="18"/>
      <c r="K27" s="32"/>
      <c r="L27" s="33"/>
      <c r="M27" s="32"/>
      <c r="N27" s="21"/>
      <c r="O27" s="30"/>
      <c r="P27" s="21"/>
      <c r="Q27" s="30"/>
      <c r="R27" s="31"/>
      <c r="S27" s="30"/>
      <c r="T27" s="18"/>
      <c r="U27" s="32"/>
      <c r="V27" s="18"/>
      <c r="W27" s="32"/>
      <c r="X27" s="33"/>
      <c r="Y27" s="32"/>
    </row>
    <row r="28" spans="1:28" x14ac:dyDescent="0.25">
      <c r="A28" s="34" t="s">
        <v>1</v>
      </c>
      <c r="B28" s="14"/>
      <c r="C28" s="9"/>
      <c r="D28" s="14"/>
      <c r="E28" s="9"/>
      <c r="F28" s="35"/>
      <c r="G28" s="9"/>
      <c r="H28" s="12"/>
      <c r="I28" s="8"/>
      <c r="J28" s="12"/>
      <c r="K28" s="8"/>
      <c r="L28" s="36"/>
      <c r="M28" s="8"/>
      <c r="N28" s="14"/>
      <c r="O28" s="9"/>
      <c r="P28" s="14"/>
      <c r="Q28" s="9"/>
      <c r="R28" s="35"/>
      <c r="S28" s="9"/>
      <c r="T28" s="12"/>
      <c r="U28" s="8"/>
      <c r="V28" s="12"/>
      <c r="W28" s="8"/>
      <c r="X28" s="36"/>
      <c r="Y28" s="8"/>
    </row>
    <row r="29" spans="1:28" x14ac:dyDescent="0.25">
      <c r="A29" s="37" t="s">
        <v>0</v>
      </c>
      <c r="B29" s="77"/>
      <c r="C29" s="78"/>
      <c r="D29" s="77"/>
      <c r="E29" s="78"/>
      <c r="F29" s="79"/>
      <c r="G29" s="78"/>
      <c r="H29" s="38"/>
      <c r="I29" s="39"/>
      <c r="J29" s="38"/>
      <c r="K29" s="39"/>
      <c r="L29" s="40"/>
      <c r="M29" s="39"/>
      <c r="N29" s="77"/>
      <c r="O29" s="78"/>
      <c r="P29" s="77"/>
      <c r="Q29" s="78"/>
      <c r="R29" s="79"/>
      <c r="S29" s="78"/>
      <c r="T29" s="38"/>
      <c r="U29" s="39"/>
      <c r="V29" s="38"/>
      <c r="W29" s="39"/>
      <c r="X29" s="40"/>
      <c r="Y29" s="39"/>
    </row>
    <row r="30" spans="1:28" x14ac:dyDescent="0.25"/>
    <row r="31" spans="1:28" x14ac:dyDescent="0.25">
      <c r="A31" s="48" t="s">
        <v>35</v>
      </c>
      <c r="B31" s="116" t="s">
        <v>25</v>
      </c>
      <c r="C31" s="117"/>
      <c r="D31" s="117"/>
      <c r="E31" s="117"/>
      <c r="F31" s="117"/>
      <c r="G31" s="118"/>
      <c r="H31" s="116" t="s">
        <v>24</v>
      </c>
      <c r="I31" s="117"/>
      <c r="J31" s="117"/>
      <c r="K31" s="117"/>
      <c r="L31" s="117"/>
      <c r="M31" s="118"/>
      <c r="N31" s="116" t="s">
        <v>23</v>
      </c>
      <c r="O31" s="117"/>
      <c r="P31" s="117"/>
      <c r="Q31" s="117"/>
      <c r="R31" s="117"/>
      <c r="S31" s="118"/>
      <c r="T31" s="116" t="s">
        <v>22</v>
      </c>
      <c r="U31" s="117"/>
      <c r="V31" s="117"/>
      <c r="W31" s="117"/>
      <c r="X31" s="117"/>
      <c r="Y31" s="118"/>
    </row>
    <row r="32" spans="1:28" ht="29.25" customHeight="1" x14ac:dyDescent="0.25">
      <c r="A32" s="107">
        <v>2020</v>
      </c>
      <c r="B32" s="110" t="s">
        <v>21</v>
      </c>
      <c r="C32" s="111"/>
      <c r="D32" s="111" t="s">
        <v>20</v>
      </c>
      <c r="E32" s="111"/>
      <c r="F32" s="111" t="s">
        <v>19</v>
      </c>
      <c r="G32" s="112"/>
      <c r="H32" s="110" t="s">
        <v>21</v>
      </c>
      <c r="I32" s="111"/>
      <c r="J32" s="111" t="s">
        <v>20</v>
      </c>
      <c r="K32" s="111"/>
      <c r="L32" s="111" t="s">
        <v>19</v>
      </c>
      <c r="M32" s="112"/>
      <c r="N32" s="110" t="s">
        <v>21</v>
      </c>
      <c r="O32" s="111"/>
      <c r="P32" s="111" t="s">
        <v>20</v>
      </c>
      <c r="Q32" s="111"/>
      <c r="R32" s="111" t="s">
        <v>19</v>
      </c>
      <c r="S32" s="112"/>
      <c r="T32" s="110" t="s">
        <v>21</v>
      </c>
      <c r="U32" s="111"/>
      <c r="V32" s="111" t="s">
        <v>20</v>
      </c>
      <c r="W32" s="111"/>
      <c r="X32" s="111" t="s">
        <v>19</v>
      </c>
      <c r="Y32" s="112"/>
    </row>
    <row r="33" spans="1:25" x14ac:dyDescent="0.25">
      <c r="A33" s="108"/>
      <c r="B33" s="50" t="s">
        <v>18</v>
      </c>
      <c r="C33" s="51" t="s">
        <v>17</v>
      </c>
      <c r="D33" s="51" t="s">
        <v>18</v>
      </c>
      <c r="E33" s="51" t="s">
        <v>17</v>
      </c>
      <c r="F33" s="51" t="s">
        <v>18</v>
      </c>
      <c r="G33" s="52" t="s">
        <v>17</v>
      </c>
      <c r="H33" s="50" t="s">
        <v>18</v>
      </c>
      <c r="I33" s="51" t="s">
        <v>17</v>
      </c>
      <c r="J33" s="51" t="s">
        <v>18</v>
      </c>
      <c r="K33" s="51" t="s">
        <v>17</v>
      </c>
      <c r="L33" s="51" t="s">
        <v>18</v>
      </c>
      <c r="M33" s="52" t="s">
        <v>17</v>
      </c>
      <c r="N33" s="50" t="s">
        <v>18</v>
      </c>
      <c r="O33" s="51" t="s">
        <v>17</v>
      </c>
      <c r="P33" s="51" t="s">
        <v>18</v>
      </c>
      <c r="Q33" s="51" t="s">
        <v>17</v>
      </c>
      <c r="R33" s="51" t="s">
        <v>18</v>
      </c>
      <c r="S33" s="52" t="s">
        <v>17</v>
      </c>
      <c r="T33" s="50" t="s">
        <v>18</v>
      </c>
      <c r="U33" s="51" t="s">
        <v>17</v>
      </c>
      <c r="V33" s="51" t="s">
        <v>18</v>
      </c>
      <c r="W33" s="51" t="s">
        <v>17</v>
      </c>
      <c r="X33" s="51" t="s">
        <v>18</v>
      </c>
      <c r="Y33" s="52" t="s">
        <v>17</v>
      </c>
    </row>
    <row r="34" spans="1:25" x14ac:dyDescent="0.25">
      <c r="A34" s="22" t="s">
        <v>16</v>
      </c>
      <c r="B34" s="21"/>
      <c r="C34" s="20"/>
      <c r="D34" s="21"/>
      <c r="E34" s="20"/>
      <c r="F34" s="21"/>
      <c r="G34" s="44"/>
      <c r="H34" s="18"/>
      <c r="I34" s="17"/>
      <c r="J34" s="18"/>
      <c r="K34" s="17"/>
      <c r="L34" s="18"/>
      <c r="M34" s="16"/>
      <c r="N34" s="21"/>
      <c r="O34" s="20"/>
      <c r="P34" s="21"/>
      <c r="Q34" s="20"/>
      <c r="R34" s="21"/>
      <c r="S34" s="44"/>
      <c r="T34" s="18"/>
      <c r="U34" s="17"/>
      <c r="V34" s="18"/>
      <c r="W34" s="17"/>
      <c r="X34" s="18"/>
      <c r="Y34" s="16"/>
    </row>
    <row r="35" spans="1:25" x14ac:dyDescent="0.25">
      <c r="A35" s="15" t="s">
        <v>15</v>
      </c>
      <c r="B35" s="14"/>
      <c r="C35" s="13"/>
      <c r="D35" s="14"/>
      <c r="E35" s="13"/>
      <c r="F35" s="14"/>
      <c r="G35" s="19"/>
      <c r="H35" s="12"/>
      <c r="I35" s="11"/>
      <c r="J35" s="12"/>
      <c r="K35" s="11"/>
      <c r="L35" s="12"/>
      <c r="M35" s="10"/>
      <c r="N35" s="14"/>
      <c r="O35" s="13"/>
      <c r="P35" s="14"/>
      <c r="Q35" s="13"/>
      <c r="R35" s="14"/>
      <c r="S35" s="19"/>
      <c r="T35" s="12"/>
      <c r="U35" s="11"/>
      <c r="V35" s="12"/>
      <c r="W35" s="11"/>
      <c r="X35" s="12"/>
      <c r="Y35" s="10"/>
    </row>
    <row r="36" spans="1:25" x14ac:dyDescent="0.25">
      <c r="A36" s="15" t="s">
        <v>14</v>
      </c>
      <c r="B36" s="14"/>
      <c r="C36" s="13"/>
      <c r="D36" s="14"/>
      <c r="E36" s="13"/>
      <c r="F36" s="14"/>
      <c r="G36" s="19"/>
      <c r="H36" s="12"/>
      <c r="I36" s="11"/>
      <c r="J36" s="12"/>
      <c r="K36" s="11"/>
      <c r="L36" s="12"/>
      <c r="M36" s="10"/>
      <c r="N36" s="14"/>
      <c r="O36" s="13"/>
      <c r="P36" s="14"/>
      <c r="Q36" s="13"/>
      <c r="R36" s="14"/>
      <c r="S36" s="19"/>
      <c r="T36" s="12"/>
      <c r="U36" s="11"/>
      <c r="V36" s="12"/>
      <c r="W36" s="11"/>
      <c r="X36" s="12"/>
      <c r="Y36" s="10"/>
    </row>
    <row r="37" spans="1:25" x14ac:dyDescent="0.25">
      <c r="A37" s="15" t="s">
        <v>13</v>
      </c>
      <c r="B37" s="14"/>
      <c r="C37" s="13"/>
      <c r="D37" s="14"/>
      <c r="E37" s="13"/>
      <c r="F37" s="14"/>
      <c r="G37" s="19"/>
      <c r="H37" s="12"/>
      <c r="I37" s="11"/>
      <c r="J37" s="12"/>
      <c r="K37" s="11"/>
      <c r="L37" s="12"/>
      <c r="M37" s="10"/>
      <c r="N37" s="14"/>
      <c r="O37" s="13"/>
      <c r="P37" s="14"/>
      <c r="Q37" s="13"/>
      <c r="R37" s="14"/>
      <c r="S37" s="19"/>
      <c r="T37" s="12"/>
      <c r="U37" s="11"/>
      <c r="V37" s="12"/>
      <c r="W37" s="11"/>
      <c r="X37" s="12"/>
      <c r="Y37" s="10"/>
    </row>
    <row r="38" spans="1:25" x14ac:dyDescent="0.25">
      <c r="A38" s="15" t="s">
        <v>12</v>
      </c>
      <c r="B38" s="14"/>
      <c r="C38" s="13"/>
      <c r="D38" s="14"/>
      <c r="E38" s="13"/>
      <c r="F38" s="14"/>
      <c r="G38" s="19"/>
      <c r="H38" s="12"/>
      <c r="I38" s="11"/>
      <c r="J38" s="12"/>
      <c r="K38" s="11"/>
      <c r="L38" s="12"/>
      <c r="M38" s="10"/>
      <c r="N38" s="14"/>
      <c r="O38" s="13"/>
      <c r="P38" s="14"/>
      <c r="Q38" s="13"/>
      <c r="R38" s="14"/>
      <c r="S38" s="19"/>
      <c r="T38" s="12"/>
      <c r="U38" s="11"/>
      <c r="V38" s="12"/>
      <c r="W38" s="11"/>
      <c r="X38" s="12"/>
      <c r="Y38" s="10"/>
    </row>
    <row r="39" spans="1:25" x14ac:dyDescent="0.25">
      <c r="A39" s="15" t="s">
        <v>11</v>
      </c>
      <c r="B39" s="14"/>
      <c r="C39" s="13"/>
      <c r="D39" s="14"/>
      <c r="E39" s="13"/>
      <c r="F39" s="14"/>
      <c r="G39" s="19"/>
      <c r="H39" s="12"/>
      <c r="I39" s="11"/>
      <c r="J39" s="12"/>
      <c r="K39" s="11"/>
      <c r="L39" s="12"/>
      <c r="M39" s="10"/>
      <c r="N39" s="14"/>
      <c r="O39" s="13"/>
      <c r="P39" s="14"/>
      <c r="Q39" s="13"/>
      <c r="R39" s="14"/>
      <c r="S39" s="19"/>
      <c r="T39" s="12"/>
      <c r="U39" s="11"/>
      <c r="V39" s="12"/>
      <c r="W39" s="11"/>
      <c r="X39" s="12"/>
      <c r="Y39" s="10"/>
    </row>
    <row r="40" spans="1:25" x14ac:dyDescent="0.25">
      <c r="A40" s="15" t="s">
        <v>10</v>
      </c>
      <c r="B40" s="14"/>
      <c r="C40" s="13"/>
      <c r="D40" s="14"/>
      <c r="E40" s="13"/>
      <c r="F40" s="14"/>
      <c r="G40" s="19"/>
      <c r="H40" s="12"/>
      <c r="I40" s="11"/>
      <c r="J40" s="12"/>
      <c r="K40" s="11"/>
      <c r="L40" s="12"/>
      <c r="M40" s="10"/>
      <c r="N40" s="14"/>
      <c r="O40" s="13"/>
      <c r="P40" s="14"/>
      <c r="Q40" s="13"/>
      <c r="R40" s="14"/>
      <c r="S40" s="19"/>
      <c r="T40" s="12"/>
      <c r="U40" s="11"/>
      <c r="V40" s="12"/>
      <c r="W40" s="11"/>
      <c r="X40" s="12"/>
      <c r="Y40" s="10"/>
    </row>
    <row r="41" spans="1:25" x14ac:dyDescent="0.25">
      <c r="A41" s="15" t="s">
        <v>9</v>
      </c>
      <c r="B41" s="14"/>
      <c r="C41" s="13"/>
      <c r="D41" s="14"/>
      <c r="E41" s="13"/>
      <c r="F41" s="14"/>
      <c r="G41" s="19"/>
      <c r="H41" s="12"/>
      <c r="I41" s="11"/>
      <c r="J41" s="12"/>
      <c r="K41" s="11"/>
      <c r="L41" s="12"/>
      <c r="M41" s="10"/>
      <c r="N41" s="14"/>
      <c r="O41" s="13"/>
      <c r="P41" s="14"/>
      <c r="Q41" s="13"/>
      <c r="R41" s="14"/>
      <c r="S41" s="19"/>
      <c r="T41" s="12"/>
      <c r="U41" s="11"/>
      <c r="V41" s="12"/>
      <c r="W41" s="11"/>
      <c r="X41" s="12"/>
      <c r="Y41" s="10"/>
    </row>
    <row r="42" spans="1:25" x14ac:dyDescent="0.25">
      <c r="A42" s="15" t="s">
        <v>8</v>
      </c>
      <c r="B42" s="14"/>
      <c r="C42" s="13"/>
      <c r="D42" s="14"/>
      <c r="E42" s="13"/>
      <c r="F42" s="14"/>
      <c r="G42" s="19"/>
      <c r="H42" s="12"/>
      <c r="I42" s="11"/>
      <c r="J42" s="12"/>
      <c r="K42" s="11"/>
      <c r="L42" s="12"/>
      <c r="M42" s="10"/>
      <c r="N42" s="14"/>
      <c r="O42" s="13"/>
      <c r="P42" s="14"/>
      <c r="Q42" s="13"/>
      <c r="R42" s="14"/>
      <c r="S42" s="19"/>
      <c r="T42" s="12"/>
      <c r="U42" s="11"/>
      <c r="V42" s="12"/>
      <c r="W42" s="11"/>
      <c r="X42" s="12"/>
      <c r="Y42" s="10"/>
    </row>
    <row r="43" spans="1:25" x14ac:dyDescent="0.25">
      <c r="A43" s="15" t="s">
        <v>7</v>
      </c>
      <c r="B43" s="14"/>
      <c r="C43" s="13"/>
      <c r="D43" s="14"/>
      <c r="E43" s="13"/>
      <c r="F43" s="14"/>
      <c r="G43" s="19"/>
      <c r="H43" s="12"/>
      <c r="I43" s="11"/>
      <c r="J43" s="12"/>
      <c r="K43" s="11"/>
      <c r="L43" s="12"/>
      <c r="M43" s="10"/>
      <c r="N43" s="14"/>
      <c r="O43" s="13"/>
      <c r="P43" s="14"/>
      <c r="Q43" s="13"/>
      <c r="R43" s="14"/>
      <c r="S43" s="19"/>
      <c r="T43" s="12"/>
      <c r="U43" s="11"/>
      <c r="V43" s="12"/>
      <c r="W43" s="11"/>
      <c r="X43" s="12"/>
      <c r="Y43" s="10"/>
    </row>
    <row r="44" spans="1:25" x14ac:dyDescent="0.25">
      <c r="A44" s="15" t="s">
        <v>6</v>
      </c>
      <c r="B44" s="14"/>
      <c r="C44" s="13"/>
      <c r="D44" s="14"/>
      <c r="E44" s="13"/>
      <c r="F44" s="14"/>
      <c r="G44" s="9"/>
      <c r="H44" s="12"/>
      <c r="I44" s="11"/>
      <c r="J44" s="12"/>
      <c r="K44" s="11"/>
      <c r="L44" s="12"/>
      <c r="M44" s="8"/>
      <c r="N44" s="14"/>
      <c r="O44" s="13"/>
      <c r="P44" s="14"/>
      <c r="Q44" s="13"/>
      <c r="R44" s="14"/>
      <c r="S44" s="9"/>
      <c r="T44" s="12"/>
      <c r="U44" s="11"/>
      <c r="V44" s="12"/>
      <c r="W44" s="11"/>
      <c r="X44" s="12"/>
      <c r="Y44" s="8"/>
    </row>
    <row r="45" spans="1:25" x14ac:dyDescent="0.25">
      <c r="A45" s="15" t="s">
        <v>5</v>
      </c>
      <c r="B45" s="14"/>
      <c r="C45" s="13"/>
      <c r="D45" s="14"/>
      <c r="E45" s="13"/>
      <c r="F45" s="14"/>
      <c r="G45" s="19"/>
      <c r="H45" s="12"/>
      <c r="I45" s="11"/>
      <c r="J45" s="12"/>
      <c r="K45" s="11"/>
      <c r="L45" s="12"/>
      <c r="M45" s="10"/>
      <c r="N45" s="14"/>
      <c r="O45" s="13"/>
      <c r="P45" s="14"/>
      <c r="Q45" s="13"/>
      <c r="R45" s="14"/>
      <c r="S45" s="19"/>
      <c r="T45" s="12"/>
      <c r="U45" s="11"/>
      <c r="V45" s="12"/>
      <c r="W45" s="11"/>
      <c r="X45" s="12"/>
      <c r="Y45" s="10"/>
    </row>
    <row r="46" spans="1:25" x14ac:dyDescent="0.25">
      <c r="A46" s="7" t="s">
        <v>0</v>
      </c>
      <c r="B46" s="6"/>
      <c r="C46" s="3"/>
      <c r="D46" s="6"/>
      <c r="E46" s="3"/>
      <c r="F46" s="6"/>
      <c r="G46" s="5"/>
      <c r="H46" s="1"/>
      <c r="I46" s="2"/>
      <c r="J46" s="1"/>
      <c r="K46" s="2"/>
      <c r="L46" s="1"/>
      <c r="M46" s="4"/>
      <c r="N46" s="6"/>
      <c r="O46" s="3"/>
      <c r="P46" s="6"/>
      <c r="Q46" s="3"/>
      <c r="R46" s="6"/>
      <c r="S46" s="5"/>
      <c r="T46" s="1"/>
      <c r="U46" s="2"/>
      <c r="V46" s="1"/>
      <c r="W46" s="2"/>
      <c r="X46" s="1"/>
      <c r="Y46" s="4"/>
    </row>
    <row r="47" spans="1:25" x14ac:dyDescent="0.25">
      <c r="A47" s="49"/>
      <c r="B47" s="27"/>
      <c r="C47" s="28"/>
      <c r="D47" s="27"/>
      <c r="E47" s="28"/>
      <c r="F47" s="27"/>
      <c r="G47" s="28"/>
      <c r="H47" s="27"/>
      <c r="I47" s="28"/>
      <c r="J47" s="27"/>
      <c r="K47" s="28"/>
      <c r="L47" s="27"/>
      <c r="M47" s="28"/>
      <c r="N47" s="27"/>
      <c r="O47" s="28"/>
      <c r="P47" s="27"/>
      <c r="Q47" s="28"/>
      <c r="R47" s="27"/>
      <c r="S47" s="28"/>
      <c r="T47" s="27"/>
      <c r="U47" s="28"/>
      <c r="V47" s="27"/>
      <c r="W47" s="28"/>
      <c r="X47" s="27"/>
      <c r="Y47" s="28"/>
    </row>
    <row r="48" spans="1:25" x14ac:dyDescent="0.25">
      <c r="A48" s="45" t="s">
        <v>4</v>
      </c>
      <c r="B48" s="21"/>
      <c r="C48" s="30"/>
      <c r="D48" s="21"/>
      <c r="E48" s="30"/>
      <c r="F48" s="31"/>
      <c r="G48" s="30"/>
      <c r="H48" s="18"/>
      <c r="I48" s="32"/>
      <c r="J48" s="18"/>
      <c r="K48" s="32"/>
      <c r="L48" s="33"/>
      <c r="M48" s="32"/>
      <c r="N48" s="21"/>
      <c r="O48" s="30"/>
      <c r="P48" s="21"/>
      <c r="Q48" s="30"/>
      <c r="R48" s="31"/>
      <c r="S48" s="30"/>
      <c r="T48" s="18"/>
      <c r="U48" s="32"/>
      <c r="V48" s="18"/>
      <c r="W48" s="32"/>
      <c r="X48" s="33"/>
      <c r="Y48" s="32"/>
    </row>
    <row r="49" spans="1:25" x14ac:dyDescent="0.25">
      <c r="A49" s="46" t="s">
        <v>3</v>
      </c>
      <c r="B49" s="14"/>
      <c r="C49" s="9"/>
      <c r="D49" s="14"/>
      <c r="E49" s="9"/>
      <c r="F49" s="35"/>
      <c r="G49" s="9"/>
      <c r="H49" s="12"/>
      <c r="I49" s="8"/>
      <c r="J49" s="12"/>
      <c r="K49" s="8"/>
      <c r="L49" s="36"/>
      <c r="M49" s="8"/>
      <c r="N49" s="14"/>
      <c r="O49" s="9"/>
      <c r="P49" s="14"/>
      <c r="Q49" s="9"/>
      <c r="R49" s="35"/>
      <c r="S49" s="9"/>
      <c r="T49" s="12"/>
      <c r="U49" s="8"/>
      <c r="V49" s="12"/>
      <c r="W49" s="8"/>
      <c r="X49" s="36"/>
      <c r="Y49" s="8"/>
    </row>
    <row r="50" spans="1:25" x14ac:dyDescent="0.25">
      <c r="A50" s="47" t="s">
        <v>0</v>
      </c>
      <c r="B50" s="77"/>
      <c r="C50" s="78"/>
      <c r="D50" s="77"/>
      <c r="E50" s="78"/>
      <c r="F50" s="79"/>
      <c r="G50" s="78"/>
      <c r="H50" s="38"/>
      <c r="I50" s="39"/>
      <c r="J50" s="38"/>
      <c r="K50" s="39"/>
      <c r="L50" s="40"/>
      <c r="M50" s="39"/>
      <c r="N50" s="77"/>
      <c r="O50" s="78"/>
      <c r="P50" s="77"/>
      <c r="Q50" s="78"/>
      <c r="R50" s="79"/>
      <c r="S50" s="78"/>
      <c r="T50" s="38"/>
      <c r="U50" s="39"/>
      <c r="V50" s="38"/>
      <c r="W50" s="39"/>
      <c r="X50" s="40"/>
      <c r="Y50" s="39"/>
    </row>
    <row r="51" spans="1:25" x14ac:dyDescent="0.25">
      <c r="A51" s="41"/>
      <c r="B51" s="42"/>
      <c r="C51" s="43"/>
      <c r="D51" s="42"/>
      <c r="E51" s="43"/>
      <c r="F51" s="42"/>
      <c r="G51" s="43"/>
      <c r="H51" s="42"/>
      <c r="I51" s="43"/>
      <c r="J51" s="42"/>
      <c r="K51" s="43"/>
      <c r="L51" s="42"/>
      <c r="M51" s="43"/>
      <c r="N51" s="42"/>
      <c r="O51" s="43"/>
      <c r="P51" s="42"/>
      <c r="Q51" s="43"/>
      <c r="R51" s="42"/>
      <c r="S51" s="43"/>
      <c r="T51" s="42"/>
      <c r="U51" s="43"/>
      <c r="V51" s="42"/>
      <c r="W51" s="43"/>
      <c r="X51" s="42"/>
      <c r="Y51" s="43"/>
    </row>
    <row r="52" spans="1:25" x14ac:dyDescent="0.25">
      <c r="A52" s="29" t="s">
        <v>2</v>
      </c>
      <c r="B52" s="21"/>
      <c r="C52" s="30"/>
      <c r="D52" s="21"/>
      <c r="E52" s="30"/>
      <c r="F52" s="31"/>
      <c r="G52" s="30"/>
      <c r="H52" s="18"/>
      <c r="I52" s="32"/>
      <c r="J52" s="18"/>
      <c r="K52" s="32"/>
      <c r="L52" s="33"/>
      <c r="M52" s="32"/>
      <c r="N52" s="21"/>
      <c r="O52" s="30"/>
      <c r="P52" s="21"/>
      <c r="Q52" s="30"/>
      <c r="R52" s="31"/>
      <c r="S52" s="30"/>
      <c r="T52" s="18"/>
      <c r="U52" s="32"/>
      <c r="V52" s="18"/>
      <c r="W52" s="32"/>
      <c r="X52" s="33"/>
      <c r="Y52" s="32"/>
    </row>
    <row r="53" spans="1:25" x14ac:dyDescent="0.25">
      <c r="A53" s="34" t="s">
        <v>1</v>
      </c>
      <c r="B53" s="14"/>
      <c r="C53" s="9"/>
      <c r="D53" s="14"/>
      <c r="E53" s="9"/>
      <c r="F53" s="35"/>
      <c r="G53" s="9"/>
      <c r="H53" s="12"/>
      <c r="I53" s="8"/>
      <c r="J53" s="12"/>
      <c r="K53" s="8"/>
      <c r="L53" s="36"/>
      <c r="M53" s="8"/>
      <c r="N53" s="14"/>
      <c r="O53" s="9"/>
      <c r="P53" s="14"/>
      <c r="Q53" s="9"/>
      <c r="R53" s="35"/>
      <c r="S53" s="9"/>
      <c r="T53" s="12"/>
      <c r="U53" s="8"/>
      <c r="V53" s="12"/>
      <c r="W53" s="8"/>
      <c r="X53" s="36"/>
      <c r="Y53" s="8"/>
    </row>
    <row r="54" spans="1:25" x14ac:dyDescent="0.25">
      <c r="A54" s="37" t="s">
        <v>0</v>
      </c>
      <c r="B54" s="77"/>
      <c r="C54" s="78"/>
      <c r="D54" s="77"/>
      <c r="E54" s="78"/>
      <c r="F54" s="79"/>
      <c r="G54" s="78"/>
      <c r="H54" s="38"/>
      <c r="I54" s="39"/>
      <c r="J54" s="38"/>
      <c r="K54" s="39"/>
      <c r="L54" s="40"/>
      <c r="M54" s="39"/>
      <c r="N54" s="77"/>
      <c r="O54" s="78"/>
      <c r="P54" s="77"/>
      <c r="Q54" s="78"/>
      <c r="R54" s="79"/>
      <c r="S54" s="78"/>
      <c r="T54" s="38"/>
      <c r="U54" s="39"/>
      <c r="V54" s="38"/>
      <c r="W54" s="39"/>
      <c r="X54" s="40"/>
      <c r="Y54" s="39"/>
    </row>
  </sheetData>
  <mergeCells count="34">
    <mergeCell ref="V32:W32"/>
    <mergeCell ref="X32:Y32"/>
    <mergeCell ref="L32:M32"/>
    <mergeCell ref="N32:O32"/>
    <mergeCell ref="P32:Q32"/>
    <mergeCell ref="R32:S32"/>
    <mergeCell ref="T32:U32"/>
    <mergeCell ref="B32:C32"/>
    <mergeCell ref="D32:E32"/>
    <mergeCell ref="F32:G32"/>
    <mergeCell ref="H32:I32"/>
    <mergeCell ref="J32:K32"/>
    <mergeCell ref="J7:K7"/>
    <mergeCell ref="L7:M7"/>
    <mergeCell ref="N6:S6"/>
    <mergeCell ref="N7:O7"/>
    <mergeCell ref="P7:Q7"/>
    <mergeCell ref="R7:S7"/>
    <mergeCell ref="A7:A8"/>
    <mergeCell ref="A32:A33"/>
    <mergeCell ref="T6:Y6"/>
    <mergeCell ref="T7:U7"/>
    <mergeCell ref="V7:W7"/>
    <mergeCell ref="X7:Y7"/>
    <mergeCell ref="B31:G31"/>
    <mergeCell ref="H31:M31"/>
    <mergeCell ref="N31:S31"/>
    <mergeCell ref="T31:Y31"/>
    <mergeCell ref="H6:M6"/>
    <mergeCell ref="H7:I7"/>
    <mergeCell ref="B6:G6"/>
    <mergeCell ref="B7:C7"/>
    <mergeCell ref="D7:E7"/>
    <mergeCell ref="F7:G7"/>
  </mergeCells>
  <dataValidations count="1">
    <dataValidation type="list" allowBlank="1" showInputMessage="1" showErrorMessage="1" sqref="A7 A32" xr:uid="{00000000-0002-0000-0100-000000000000}">
      <formula1>Years</formula1>
    </dataValidation>
  </dataValidations>
  <pageMargins left="0" right="0" top="0" bottom="0.35433070866141736" header="0" footer="0.11811023622047245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3</vt:i4>
      </vt:variant>
    </vt:vector>
  </HeadingPairs>
  <TitlesOfParts>
    <vt:vector size="5" baseType="lpstr">
      <vt:lpstr>כלל והון </vt:lpstr>
      <vt:lpstr>נוסטרו חיים</vt:lpstr>
      <vt:lpstr>'כלל והון '!WPrint_Area_W</vt:lpstr>
      <vt:lpstr>'נוסטרו חיים'!WPrint_Area_W</vt:lpstr>
      <vt:lpstr>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dc:description>הונגש באמצעות המרכז להנגשת מידע של עמותת נגישות ישראל.</dc:description>
  <cp:lastModifiedBy>Ori Anavi</cp:lastModifiedBy>
  <dcterms:created xsi:type="dcterms:W3CDTF">2016-08-10T06:34:50Z</dcterms:created>
  <dcterms:modified xsi:type="dcterms:W3CDTF">2024-12-02T06:40:57Z</dcterms:modified>
</cp:coreProperties>
</file>